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inear Algebra/"/>
    </mc:Choice>
  </mc:AlternateContent>
  <xr:revisionPtr revIDLastSave="26" documentId="8_{C554B434-BD42-45FC-8847-1469B1F9D854}" xr6:coauthVersionLast="47" xr6:coauthVersionMax="47" xr10:uidLastSave="{54D96AE4-AF5D-4DB1-8C5A-E9878BCD4565}"/>
  <bookViews>
    <workbookView xWindow="-28920" yWindow="-120" windowWidth="29040" windowHeight="15720" activeTab="4" xr2:uid="{B4399BFC-FD99-4AA1-BB01-DC60A77D6A75}"/>
  </bookViews>
  <sheets>
    <sheet name="Fig.3.1.1" sheetId="2" r:id="rId1"/>
    <sheet name="Fig.3.2.1-3.5.1" sheetId="3" r:id="rId2"/>
    <sheet name="Fig.3.6.1-3.6.6" sheetId="4" r:id="rId3"/>
    <sheet name="Fig.3.7.1" sheetId="5" r:id="rId4"/>
    <sheet name="Fig.3.7.2-3.7.6" sheetId="6" r:id="rId5"/>
  </sheets>
  <externalReferences>
    <externalReference r:id="rId6"/>
    <externalReference r:id="rId7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6" l="1"/>
  <c r="Y8" i="6"/>
  <c r="Z8" i="6"/>
  <c r="AA8" i="6"/>
  <c r="AB8" i="6"/>
  <c r="J9" i="6"/>
  <c r="Y9" i="6"/>
  <c r="B9" i="6"/>
  <c r="F8" i="6"/>
  <c r="Q9" i="6"/>
  <c r="E3" i="6" l="1"/>
  <c r="E5" i="6"/>
  <c r="E7" i="6"/>
  <c r="E2" i="6"/>
  <c r="E4" i="6"/>
  <c r="E6" i="6"/>
  <c r="B2" i="6"/>
  <c r="B4" i="6"/>
  <c r="B6" i="6"/>
  <c r="B5" i="6"/>
  <c r="X12" i="6" s="1" a="1"/>
  <c r="X12" i="6" s="1"/>
  <c r="B7" i="6"/>
  <c r="B3" i="6"/>
  <c r="D7" i="6"/>
  <c r="D3" i="6"/>
  <c r="D5" i="6"/>
  <c r="D2" i="6"/>
  <c r="D4" i="6"/>
  <c r="D6" i="6"/>
  <c r="C2" i="6"/>
  <c r="C4" i="6"/>
  <c r="C6" i="6"/>
  <c r="C3" i="6"/>
  <c r="C5" i="6"/>
  <c r="C7" i="6"/>
  <c r="B16" i="6"/>
  <c r="AD16" i="6"/>
  <c r="B19" i="6" a="1"/>
  <c r="J16" i="6"/>
  <c r="Q16" i="6"/>
  <c r="X16" i="6"/>
  <c r="T7" i="6" l="1"/>
  <c r="M7" i="6"/>
  <c r="M6" i="6"/>
  <c r="T6" i="6"/>
  <c r="J7" i="6"/>
  <c r="Q7" i="6"/>
  <c r="L6" i="6"/>
  <c r="S6" i="6"/>
  <c r="T5" i="6"/>
  <c r="M5" i="6"/>
  <c r="R6" i="6"/>
  <c r="K6" i="6"/>
  <c r="L7" i="6"/>
  <c r="S7" i="6"/>
  <c r="T4" i="6"/>
  <c r="M4" i="6"/>
  <c r="R2" i="6"/>
  <c r="C8" i="6"/>
  <c r="K2" i="6"/>
  <c r="J5" i="6"/>
  <c r="Q5" i="6"/>
  <c r="R7" i="6"/>
  <c r="K7" i="6"/>
  <c r="S2" i="6"/>
  <c r="D8" i="6"/>
  <c r="L2" i="6"/>
  <c r="Q4" i="6"/>
  <c r="J4" i="6"/>
  <c r="K5" i="6"/>
  <c r="R5" i="6"/>
  <c r="L5" i="6"/>
  <c r="S5" i="6"/>
  <c r="B8" i="6"/>
  <c r="J2" i="6"/>
  <c r="K3" i="6"/>
  <c r="R3" i="6"/>
  <c r="S3" i="6"/>
  <c r="L3" i="6"/>
  <c r="K4" i="6"/>
  <c r="R4" i="6"/>
  <c r="J3" i="6"/>
  <c r="Q3" i="6"/>
  <c r="T2" i="6"/>
  <c r="E8" i="6"/>
  <c r="M2" i="6"/>
  <c r="B12" i="6" a="1"/>
  <c r="B12" i="6" s="1"/>
  <c r="S4" i="6"/>
  <c r="L4" i="6"/>
  <c r="Q6" i="6"/>
  <c r="J6" i="6"/>
  <c r="M3" i="6"/>
  <c r="T3" i="6"/>
  <c r="B19" i="6"/>
  <c r="J19" i="6" a="1"/>
  <c r="S8" i="6" l="1"/>
  <c r="M8" i="6"/>
  <c r="T8" i="6"/>
  <c r="J8" i="6"/>
  <c r="J12" i="6" a="1"/>
  <c r="J12" i="6" s="1"/>
  <c r="K8" i="6"/>
  <c r="L8" i="6"/>
  <c r="Q8" i="6"/>
  <c r="Q12" i="6" a="1"/>
  <c r="Q12" i="6" s="1"/>
  <c r="R8" i="6"/>
  <c r="J19" i="6"/>
  <c r="Q25" i="6"/>
  <c r="J25" i="6"/>
  <c r="X19" i="6" a="1"/>
  <c r="B28" i="6" a="1"/>
  <c r="X23" i="6"/>
  <c r="AD23" i="6"/>
  <c r="J28" i="6" a="1"/>
  <c r="Q19" i="6" a="1"/>
  <c r="B25" i="6"/>
  <c r="X19" i="6" l="1"/>
  <c r="Q19" i="6"/>
  <c r="B28" i="6"/>
  <c r="J28" i="6"/>
  <c r="B35" i="6" a="1"/>
  <c r="X32" i="6"/>
  <c r="Q32" i="6"/>
  <c r="B32" i="6"/>
  <c r="X28" i="6" a="1"/>
  <c r="J35" i="6" a="1"/>
  <c r="Q28" i="6" a="1"/>
  <c r="J32" i="6"/>
  <c r="X28" i="6" l="1"/>
  <c r="Q28" i="6"/>
  <c r="B35" i="6"/>
  <c r="F35" i="6" s="1"/>
  <c r="G35" i="6" s="1"/>
  <c r="AD12" i="6" a="1"/>
  <c r="AD12" i="6" s="1"/>
  <c r="AD19" i="6" a="1"/>
  <c r="AD19" i="6" s="1"/>
  <c r="J35" i="6"/>
  <c r="J43" i="6" s="1" a="1"/>
  <c r="J43" i="6" s="1"/>
  <c r="N35" i="6"/>
  <c r="F36" i="6"/>
  <c r="G36" i="6" s="1"/>
  <c r="N36" i="6"/>
  <c r="F37" i="6"/>
  <c r="G37" i="6" s="1"/>
  <c r="N37" i="6"/>
  <c r="F38" i="6"/>
  <c r="G38" i="6"/>
  <c r="N38" i="6"/>
  <c r="B43" i="6" a="1"/>
  <c r="B43" i="6" s="1"/>
  <c r="N2" i="5" a="1"/>
  <c r="N2" i="5"/>
  <c r="O2" i="5" a="1"/>
  <c r="O2" i="5"/>
  <c r="Y3" i="5" s="1"/>
  <c r="P2" i="5" a="1"/>
  <c r="P2" i="5"/>
  <c r="Q2" i="5" a="1"/>
  <c r="Q2" i="5"/>
  <c r="S2" i="5"/>
  <c r="X2" i="5"/>
  <c r="T3" i="5"/>
  <c r="U4" i="5"/>
  <c r="Z4" i="5"/>
  <c r="V5" i="5"/>
  <c r="AA5" i="5"/>
  <c r="B9" i="5"/>
  <c r="C9" i="5"/>
  <c r="D9" i="5"/>
  <c r="E9" i="5"/>
  <c r="B10" i="5"/>
  <c r="C10" i="5"/>
  <c r="D10" i="5"/>
  <c r="E10" i="5"/>
  <c r="B14" i="5"/>
  <c r="N14" i="5"/>
  <c r="P14" i="5"/>
  <c r="B15" i="5"/>
  <c r="C14" i="5" s="1"/>
  <c r="D15" i="5"/>
  <c r="N15" i="5"/>
  <c r="O14" i="5" s="1"/>
  <c r="B16" i="5"/>
  <c r="D14" i="5" s="1"/>
  <c r="C16" i="5"/>
  <c r="E16" i="5"/>
  <c r="N16" i="5"/>
  <c r="O16" i="5"/>
  <c r="P15" i="5" s="1"/>
  <c r="Q16" i="5"/>
  <c r="B17" i="5"/>
  <c r="E14" i="5" s="1"/>
  <c r="C17" i="5"/>
  <c r="E15" i="5" s="1"/>
  <c r="D17" i="5"/>
  <c r="N17" i="5"/>
  <c r="Q14" i="5" s="1"/>
  <c r="O17" i="5"/>
  <c r="Q15" i="5" s="1"/>
  <c r="P17" i="5"/>
  <c r="S20" i="5" a="1"/>
  <c r="S20" i="5" s="1"/>
  <c r="T20" i="5" a="1"/>
  <c r="T20" i="5"/>
  <c r="U20" i="5" a="1"/>
  <c r="U20" i="5"/>
  <c r="V20" i="5" a="1"/>
  <c r="V20" i="5" s="1"/>
  <c r="X20" i="5"/>
  <c r="B21" i="5"/>
  <c r="C21" i="5"/>
  <c r="E21" i="5"/>
  <c r="N21" i="5"/>
  <c r="Y21" i="5"/>
  <c r="B22" i="5"/>
  <c r="C22" i="5"/>
  <c r="O22" i="5"/>
  <c r="Z22" i="5"/>
  <c r="B23" i="5"/>
  <c r="D21" i="5" s="1"/>
  <c r="C23" i="5"/>
  <c r="D22" i="5" s="1"/>
  <c r="D23" i="5"/>
  <c r="O23" i="5"/>
  <c r="P22" i="5" s="1"/>
  <c r="P23" i="5"/>
  <c r="AA23" i="5"/>
  <c r="B24" i="5"/>
  <c r="C24" i="5"/>
  <c r="E22" i="5" s="1"/>
  <c r="D24" i="5"/>
  <c r="E23" i="5" s="1"/>
  <c r="E24" i="5"/>
  <c r="O24" i="5"/>
  <c r="Q22" i="5" s="1"/>
  <c r="P24" i="5"/>
  <c r="Q23" i="5" s="1"/>
  <c r="Q24" i="5"/>
  <c r="X47" i="6"/>
  <c r="X26" i="5"/>
  <c r="X6" i="5"/>
  <c r="X35" i="6" a="1"/>
  <c r="B49" i="6"/>
  <c r="S26" i="5"/>
  <c r="AH24" i="5"/>
  <c r="G39" i="6"/>
  <c r="AC26" i="5"/>
  <c r="J49" i="6"/>
  <c r="Q35" i="6" a="1"/>
  <c r="H8" i="5"/>
  <c r="N8" i="5"/>
  <c r="B27" i="5" a="1"/>
  <c r="S6" i="5"/>
  <c r="U39" i="6"/>
  <c r="X39" i="6"/>
  <c r="N39" i="6"/>
  <c r="AD35" i="6" a="1"/>
  <c r="AD42" i="6"/>
  <c r="Q49" i="6"/>
  <c r="F39" i="6"/>
  <c r="Q35" i="6" l="1"/>
  <c r="U36" i="6"/>
  <c r="U38" i="6"/>
  <c r="U37" i="6"/>
  <c r="AD35" i="6"/>
  <c r="N23" i="5"/>
  <c r="P21" i="5" s="1"/>
  <c r="N24" i="5"/>
  <c r="Q21" i="5" s="1"/>
  <c r="N22" i="5"/>
  <c r="O21" i="5" s="1"/>
  <c r="X35" i="6"/>
  <c r="X43" i="6" s="1" a="1"/>
  <c r="X43" i="6" s="1"/>
  <c r="AC20" i="5" a="1"/>
  <c r="AC20" i="5" s="1"/>
  <c r="K3" i="5"/>
  <c r="K2" i="5"/>
  <c r="K6" i="5"/>
  <c r="K5" i="5"/>
  <c r="K4" i="5"/>
  <c r="K7" i="5"/>
  <c r="J3" i="5"/>
  <c r="J2" i="5"/>
  <c r="J6" i="5"/>
  <c r="J5" i="5"/>
  <c r="J4" i="5"/>
  <c r="J7" i="5"/>
  <c r="AH20" i="5" a="1"/>
  <c r="AH20" i="5" s="1"/>
  <c r="I2" i="5"/>
  <c r="I6" i="5"/>
  <c r="I5" i="5"/>
  <c r="I4" i="5"/>
  <c r="I3" i="5"/>
  <c r="I7" i="5"/>
  <c r="H2" i="5"/>
  <c r="H6" i="5"/>
  <c r="H5" i="5"/>
  <c r="H4" i="5"/>
  <c r="H3" i="5"/>
  <c r="H7" i="5"/>
  <c r="B27" i="5"/>
  <c r="U35" i="6" l="1"/>
  <c r="Q43" i="6" a="1"/>
  <c r="Q43" i="6" s="1"/>
  <c r="H16" i="5"/>
  <c r="J14" i="5" s="1"/>
  <c r="H21" i="5"/>
  <c r="H17" i="5"/>
  <c r="K14" i="5" s="1"/>
  <c r="H23" i="5"/>
  <c r="J21" i="5" s="1"/>
  <c r="H22" i="5"/>
  <c r="I21" i="5" s="1"/>
  <c r="H14" i="5"/>
  <c r="H15" i="5"/>
  <c r="I14" i="5" s="1"/>
  <c r="H24" i="5"/>
  <c r="K21" i="5" s="1"/>
  <c r="J24" i="5"/>
  <c r="K23" i="5" s="1"/>
  <c r="J23" i="5"/>
  <c r="J17" i="5"/>
  <c r="K16" i="5" s="1"/>
  <c r="I16" i="5"/>
  <c r="J15" i="5" s="1"/>
  <c r="I17" i="5"/>
  <c r="K15" i="5" s="1"/>
  <c r="I23" i="5"/>
  <c r="J22" i="5" s="1"/>
  <c r="I24" i="5"/>
  <c r="K22" i="5" s="1"/>
  <c r="I22" i="5"/>
  <c r="K24" i="5"/>
  <c r="H27" i="5" a="1"/>
  <c r="N27" i="5" a="1"/>
  <c r="H27" i="5" l="1"/>
  <c r="N27" i="5"/>
  <c r="G3" i="4"/>
  <c r="G5" i="4"/>
  <c r="G6" i="4" s="1"/>
  <c r="B8" i="4"/>
  <c r="C8" i="4"/>
  <c r="D8" i="4"/>
  <c r="E8" i="4"/>
  <c r="N7" i="4" s="1"/>
  <c r="K9" i="4"/>
  <c r="H35" i="5"/>
  <c r="P6" i="4"/>
  <c r="B35" i="5"/>
  <c r="U6" i="4"/>
  <c r="O2" i="4"/>
  <c r="Q2" i="4"/>
  <c r="N38" i="5" a="1"/>
  <c r="B46" i="5"/>
  <c r="B9" i="4"/>
  <c r="H46" i="5"/>
  <c r="H6" i="4"/>
  <c r="H38" i="5" a="1"/>
  <c r="N35" i="5"/>
  <c r="N46" i="5"/>
  <c r="B38" i="5" a="1"/>
  <c r="B38" i="5" l="1"/>
  <c r="H38" i="5"/>
  <c r="N38" i="5"/>
  <c r="K2" i="4"/>
  <c r="K4" i="4"/>
  <c r="K5" i="4"/>
  <c r="K3" i="4"/>
  <c r="Q9" i="4" s="1"/>
  <c r="K6" i="4"/>
  <c r="M2" i="4"/>
  <c r="M5" i="4"/>
  <c r="M4" i="4"/>
  <c r="R11" i="4" s="1"/>
  <c r="M3" i="4"/>
  <c r="M6" i="4"/>
  <c r="M7" i="4"/>
  <c r="N2" i="4"/>
  <c r="N3" i="4"/>
  <c r="N4" i="4"/>
  <c r="N5" i="4"/>
  <c r="N6" i="4"/>
  <c r="P12" i="4" s="1"/>
  <c r="L2" i="4"/>
  <c r="L4" i="4"/>
  <c r="L5" i="4"/>
  <c r="L3" i="4"/>
  <c r="L6" i="4"/>
  <c r="L7" i="4"/>
  <c r="K7" i="4"/>
  <c r="K13" i="4" s="1"/>
  <c r="P9" i="4"/>
  <c r="P10" i="4"/>
  <c r="Q10" i="4"/>
  <c r="R10" i="4"/>
  <c r="Q12" i="4"/>
  <c r="R12" i="4"/>
  <c r="B13" i="4"/>
  <c r="P13" i="4"/>
  <c r="U13" i="4"/>
  <c r="S11" i="4" l="1"/>
  <c r="S5" i="4"/>
  <c r="N8" i="4"/>
  <c r="R4" i="4"/>
  <c r="R5" i="4"/>
  <c r="M8" i="4"/>
  <c r="Q11" i="4"/>
  <c r="S9" i="4"/>
  <c r="P11" i="4"/>
  <c r="R9" i="4"/>
  <c r="S12" i="4"/>
  <c r="S10" i="4"/>
  <c r="Q3" i="4"/>
  <c r="Q4" i="4"/>
  <c r="L8" i="4"/>
  <c r="Q5" i="4" s="1"/>
  <c r="P2" i="4"/>
  <c r="U2" i="4" a="1"/>
  <c r="U2" i="4" s="1"/>
  <c r="U9" i="4" s="1" a="1"/>
  <c r="U9" i="4" s="1"/>
  <c r="P4" i="4"/>
  <c r="P3" i="4"/>
  <c r="P5" i="4"/>
  <c r="K8" i="4"/>
  <c r="C14" i="4"/>
  <c r="L14" i="4"/>
  <c r="D15" i="4"/>
  <c r="M15" i="4"/>
  <c r="E16" i="4"/>
  <c r="N16" i="4"/>
  <c r="U16" i="4" a="1"/>
  <c r="U16" i="4" s="1"/>
  <c r="A24" i="4" a="1"/>
  <c r="A24" i="4" s="1"/>
  <c r="B24" i="4" a="1"/>
  <c r="B24" i="4" s="1"/>
  <c r="C24" i="4" a="1"/>
  <c r="C24" i="4"/>
  <c r="D24" i="4" a="1"/>
  <c r="D24" i="4" s="1"/>
  <c r="F24" i="4"/>
  <c r="P24" i="4" a="1"/>
  <c r="P24" i="4"/>
  <c r="Q24" i="4" a="1"/>
  <c r="Q24" i="4" s="1"/>
  <c r="R24" i="4" a="1"/>
  <c r="R24" i="4" s="1"/>
  <c r="S24" i="4" a="1"/>
  <c r="S24" i="4" s="1"/>
  <c r="G25" i="4"/>
  <c r="H26" i="4"/>
  <c r="I27" i="4"/>
  <c r="A30" i="4"/>
  <c r="P30" i="4"/>
  <c r="U20" i="4"/>
  <c r="F30" i="4"/>
  <c r="K30" i="4"/>
  <c r="K24" i="4" l="1" a="1"/>
  <c r="K24" i="4" s="1"/>
  <c r="K34" i="4" a="1"/>
  <c r="K34" i="4" s="1"/>
  <c r="W1" i="3"/>
  <c r="AB1" i="3"/>
  <c r="E2" i="3"/>
  <c r="H2" i="3" a="1"/>
  <c r="H2" i="3" s="1"/>
  <c r="I2" i="3" a="1"/>
  <c r="I2" i="3" s="1"/>
  <c r="J2" i="3" a="1"/>
  <c r="J2" i="3" s="1"/>
  <c r="O2" i="3"/>
  <c r="P2" i="3"/>
  <c r="Q2" i="3"/>
  <c r="W2" i="3"/>
  <c r="AB2" i="3"/>
  <c r="E3" i="3"/>
  <c r="O3" i="3"/>
  <c r="P3" i="3"/>
  <c r="Q3" i="3"/>
  <c r="W3" i="3"/>
  <c r="AB3" i="3"/>
  <c r="E4" i="3"/>
  <c r="O4" i="3"/>
  <c r="P4" i="3"/>
  <c r="Q4" i="3"/>
  <c r="B5" i="3"/>
  <c r="C5" i="3"/>
  <c r="D5" i="3"/>
  <c r="H5" i="3"/>
  <c r="I5" i="3"/>
  <c r="J5" i="3"/>
  <c r="H6" i="3"/>
  <c r="I6" i="3"/>
  <c r="J6" i="3"/>
  <c r="O8" i="3"/>
  <c r="P8" i="3"/>
  <c r="Q8" i="3"/>
  <c r="B9" i="3" a="1"/>
  <c r="B9" i="3" s="1"/>
  <c r="C9" i="3" a="1"/>
  <c r="C9" i="3" s="1"/>
  <c r="AB6" i="3" s="1" a="1"/>
  <c r="AB6" i="3" s="1"/>
  <c r="D9" i="3" a="1"/>
  <c r="D9" i="3" s="1"/>
  <c r="AC6" i="3" s="1" a="1"/>
  <c r="AC6" i="3" s="1"/>
  <c r="AC2" i="3"/>
  <c r="K6" i="3"/>
  <c r="AC1" i="3"/>
  <c r="E9" i="3"/>
  <c r="O5" i="3"/>
  <c r="AC3" i="3"/>
  <c r="B6" i="3"/>
  <c r="K2" i="3"/>
  <c r="X1" i="3"/>
  <c r="K38" i="4"/>
  <c r="F2" i="3"/>
  <c r="K5" i="3"/>
  <c r="X3" i="3"/>
  <c r="X2" i="3"/>
  <c r="V6" i="3" l="1" a="1"/>
  <c r="V6" i="3" s="1"/>
  <c r="AA6" i="3" a="1"/>
  <c r="AA6" i="3" s="1"/>
  <c r="X6" i="3" a="1"/>
  <c r="X6" i="3" s="1"/>
  <c r="W6" i="3" a="1"/>
  <c r="W6" i="3" s="1"/>
  <c r="H9" i="3" a="1"/>
  <c r="H9" i="3" s="1"/>
  <c r="I9" i="3" a="1"/>
  <c r="I9" i="3" s="1"/>
  <c r="J9" i="3" a="1"/>
  <c r="J9" i="3"/>
  <c r="O9" i="3"/>
  <c r="P9" i="3"/>
  <c r="Q9" i="3"/>
  <c r="O10" i="3"/>
  <c r="P10" i="3"/>
  <c r="Q10" i="3"/>
  <c r="B12" i="3"/>
  <c r="C12" i="3"/>
  <c r="D12" i="3"/>
  <c r="V12" i="3" a="1"/>
  <c r="V12" i="3" s="1"/>
  <c r="W12" i="3" a="1"/>
  <c r="W12" i="3"/>
  <c r="X12" i="3" a="1"/>
  <c r="X12" i="3"/>
  <c r="AA12" i="3" a="1"/>
  <c r="AA12" i="3" s="1"/>
  <c r="AB12" i="3" a="1"/>
  <c r="AB12" i="3" s="1"/>
  <c r="AC12" i="3" a="1"/>
  <c r="AC12" i="3" s="1"/>
  <c r="H13" i="3"/>
  <c r="I13" i="3"/>
  <c r="J13" i="3"/>
  <c r="O14" i="3"/>
  <c r="P14" i="3"/>
  <c r="Q14" i="3"/>
  <c r="O15" i="3"/>
  <c r="P15" i="3"/>
  <c r="Q15" i="3"/>
  <c r="B16" i="3" a="1"/>
  <c r="B16" i="3" s="1"/>
  <c r="E16" i="3" s="1"/>
  <c r="O16" i="3"/>
  <c r="P16" i="3"/>
  <c r="Q16" i="3"/>
  <c r="B17" i="3" a="1"/>
  <c r="B17" i="3" s="1"/>
  <c r="E17" i="3" s="1"/>
  <c r="H17" i="3" a="1"/>
  <c r="H17" i="3" s="1"/>
  <c r="K17" i="3" s="1"/>
  <c r="R17" i="3"/>
  <c r="B18" i="3" a="1"/>
  <c r="B18" i="3" s="1"/>
  <c r="E18" i="3" s="1"/>
  <c r="H18" i="3" a="1"/>
  <c r="H18" i="3" s="1"/>
  <c r="K18" i="3" s="1"/>
  <c r="H19" i="3" a="1"/>
  <c r="H19" i="3"/>
  <c r="K19" i="3"/>
  <c r="E2" i="2" a="1"/>
  <c r="E2" i="2" s="1"/>
  <c r="E3" i="2"/>
  <c r="E4" i="2"/>
  <c r="E5" i="2"/>
  <c r="E6" i="2"/>
  <c r="F3" i="2"/>
  <c r="B19" i="3"/>
  <c r="F6" i="2"/>
  <c r="V9" i="3"/>
  <c r="R14" i="3"/>
  <c r="AA9" i="3"/>
  <c r="V15" i="3"/>
  <c r="AA15" i="3"/>
  <c r="F4" i="2"/>
  <c r="H12" i="3"/>
  <c r="S17" i="3"/>
  <c r="F2" i="2"/>
  <c r="H20" i="3"/>
  <c r="O11" i="3"/>
  <c r="F16" i="3"/>
  <c r="B13" i="3"/>
  <c r="F5" i="2"/>
  <c r="H14" i="3"/>
  <c r="L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<sst xmlns="http://schemas.openxmlformats.org/spreadsheetml/2006/main" count="250" uniqueCount="157">
  <si>
    <r>
      <t>Frobenius norm - Like L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but requires a matrix</t>
    </r>
  </si>
  <si>
    <t>Not possible to calculate for trivial example</t>
  </si>
  <si>
    <r>
      <t>L</t>
    </r>
    <r>
      <rPr>
        <vertAlign val="subscript"/>
        <sz val="11"/>
        <color theme="1"/>
        <rFont val="Aptos Narrow"/>
        <family val="2"/>
        <scheme val="minor"/>
      </rPr>
      <t>F</t>
    </r>
    <r>
      <rPr>
        <vertAlign val="superscript"/>
        <sz val="11"/>
        <color theme="1"/>
        <rFont val="Aptos Narrow"/>
        <family val="2"/>
        <scheme val="minor"/>
      </rPr>
      <t>2</t>
    </r>
  </si>
  <si>
    <t>Weighted norm - Mahalanobis distance is an example</t>
  </si>
  <si>
    <r>
      <t>L</t>
    </r>
    <r>
      <rPr>
        <vertAlign val="subscript"/>
        <sz val="11"/>
        <color theme="1"/>
        <rFont val="Aptos Narrow"/>
        <family val="2"/>
        <scheme val="minor"/>
      </rPr>
      <t>W</t>
    </r>
  </si>
  <si>
    <t>Zero norm</t>
  </si>
  <si>
    <r>
      <t>L</t>
    </r>
    <r>
      <rPr>
        <vertAlign val="subscript"/>
        <sz val="11"/>
        <color theme="1"/>
        <rFont val="Aptos Narrow"/>
        <family val="2"/>
        <scheme val="minor"/>
      </rPr>
      <t>0</t>
    </r>
  </si>
  <si>
    <t>Infinity norm (Uniform norm)</t>
  </si>
  <si>
    <r>
      <t>L</t>
    </r>
    <r>
      <rPr>
        <vertAlign val="subscript"/>
        <sz val="11"/>
        <color theme="1"/>
        <rFont val="Aptos Narrow"/>
        <family val="2"/>
      </rPr>
      <t>∞</t>
    </r>
  </si>
  <si>
    <r>
      <t xml:space="preserve">General </t>
    </r>
    <r>
      <rPr>
        <i/>
        <sz val="11"/>
        <color theme="1"/>
        <rFont val="Aptos Narrow"/>
        <family val="2"/>
        <scheme val="minor"/>
      </rPr>
      <t>p</t>
    </r>
    <r>
      <rPr>
        <sz val="11"/>
        <color theme="1"/>
        <rFont val="Aptos Narrow"/>
        <family val="2"/>
        <scheme val="minor"/>
      </rPr>
      <t xml:space="preserve"> norm</t>
    </r>
  </si>
  <si>
    <r>
      <t xml:space="preserve">For </t>
    </r>
    <r>
      <rPr>
        <i/>
        <sz val="11"/>
        <color theme="1"/>
        <rFont val="Aptos Narrow"/>
        <family val="2"/>
        <scheme val="minor"/>
      </rPr>
      <t>p</t>
    </r>
    <r>
      <rPr>
        <sz val="11"/>
        <color theme="1"/>
        <rFont val="Aptos Narrow"/>
        <family val="2"/>
        <scheme val="minor"/>
      </rPr>
      <t>=3</t>
    </r>
  </si>
  <si>
    <r>
      <t>L</t>
    </r>
    <r>
      <rPr>
        <vertAlign val="subscript"/>
        <sz val="11"/>
        <color theme="1"/>
        <rFont val="Aptos Narrow"/>
        <family val="2"/>
        <scheme val="minor"/>
      </rPr>
      <t>p</t>
    </r>
  </si>
  <si>
    <t>Euclidean norm</t>
  </si>
  <si>
    <r>
      <t>L</t>
    </r>
    <r>
      <rPr>
        <vertAlign val="subscript"/>
        <sz val="11"/>
        <color theme="1"/>
        <rFont val="Aptos Narrow"/>
        <family val="2"/>
        <scheme val="minor"/>
      </rPr>
      <t>2</t>
    </r>
  </si>
  <si>
    <t>Manhattan (Taxicab)</t>
  </si>
  <si>
    <r>
      <t>L</t>
    </r>
    <r>
      <rPr>
        <vertAlign val="subscript"/>
        <sz val="11"/>
        <color theme="1"/>
        <rFont val="Aptos Narrow"/>
        <family val="2"/>
        <scheme val="minor"/>
      </rPr>
      <t>1</t>
    </r>
  </si>
  <si>
    <t>Name</t>
  </si>
  <si>
    <t>Function</t>
  </si>
  <si>
    <t>Symbol</t>
  </si>
  <si>
    <t>Norm</t>
  </si>
  <si>
    <t>v</t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</si>
  <si>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row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</si>
  <si>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Centred by row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</si>
  <si>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Frobenius norm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</si>
  <si>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Ö(</t>
    </r>
    <r>
      <rPr>
        <sz val="11"/>
        <color theme="1"/>
        <rFont val="Aptos Narrow"/>
        <family val="2"/>
      </rPr>
      <t>N-1)</t>
    </r>
    <r>
      <rPr>
        <sz val="11"/>
        <color theme="1"/>
        <rFont val="Aptos Narrow"/>
        <family val="2"/>
        <scheme val="minor"/>
      </rPr>
      <t xml:space="preserve"> (for sample)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</si>
  <si>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(</t>
    </r>
    <r>
      <rPr>
        <sz val="11"/>
        <color theme="1"/>
        <rFont val="Aptos Narrow"/>
        <family val="2"/>
      </rPr>
      <t>N-1)</t>
    </r>
    <r>
      <rPr>
        <sz val="11"/>
        <color theme="1"/>
        <rFont val="Aptos Narrow"/>
        <family val="2"/>
        <scheme val="minor"/>
      </rPr>
      <t xml:space="preserve"> (for sample)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</si>
  <si>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normalised by column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</si>
  <si>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Centred by column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</si>
  <si>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min-max row normalisation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</si>
  <si>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N</t>
    </r>
    <r>
      <rPr>
        <sz val="11"/>
        <color theme="1"/>
        <rFont val="Aptos Narrow"/>
        <family val="2"/>
        <scheme val="minor"/>
      </rPr>
      <t xml:space="preserve"> (for population)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</si>
  <si>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scaled by 1/</t>
    </r>
    <r>
      <rPr>
        <sz val="11"/>
        <color theme="1"/>
        <rFont val="Aptos Narrow"/>
        <family val="2"/>
      </rPr>
      <t>N</t>
    </r>
    <r>
      <rPr>
        <sz val="11"/>
        <color theme="1"/>
        <rFont val="Aptos Narrow"/>
        <family val="2"/>
        <scheme val="minor"/>
      </rPr>
      <t xml:space="preserve"> (for population)</t>
    </r>
  </si>
  <si>
    <t>Norm colmn</t>
  </si>
  <si>
    <r>
      <rPr>
        <sz val="11"/>
        <color theme="1"/>
        <rFont val="Symbol"/>
        <family val="1"/>
        <charset val="2"/>
      </rPr>
      <t>1/Ö(</t>
    </r>
    <r>
      <rPr>
        <sz val="11"/>
        <color theme="1"/>
        <rFont val="Aptos Narrow"/>
        <family val="2"/>
      </rPr>
      <t>N-1)=</t>
    </r>
  </si>
  <si>
    <r>
      <rPr>
        <sz val="11"/>
        <color theme="1"/>
        <rFont val="Symbol"/>
        <family val="1"/>
        <charset val="2"/>
      </rPr>
      <t>1/(</t>
    </r>
    <r>
      <rPr>
        <sz val="11"/>
        <color theme="1"/>
        <rFont val="Aptos Narrow"/>
        <family val="2"/>
      </rPr>
      <t>N-1)=</t>
    </r>
  </si>
  <si>
    <r>
      <rPr>
        <sz val="11"/>
        <color theme="1"/>
        <rFont val="Symbol"/>
        <family val="1"/>
        <charset val="2"/>
      </rPr>
      <t>1/Ö</t>
    </r>
    <r>
      <rPr>
        <sz val="11"/>
        <color theme="1"/>
        <rFont val="Aptos Narrow"/>
        <family val="2"/>
      </rPr>
      <t>N=</t>
    </r>
  </si>
  <si>
    <r>
      <rPr>
        <sz val="11"/>
        <color theme="1"/>
        <rFont val="Symbol"/>
        <family val="1"/>
        <charset val="2"/>
      </rPr>
      <t>1/</t>
    </r>
    <r>
      <rPr>
        <sz val="11"/>
        <color theme="1"/>
        <rFont val="Aptos Narrow"/>
        <family val="2"/>
      </rPr>
      <t>N=</t>
    </r>
  </si>
  <si>
    <t>N=</t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</si>
  <si>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min-max column normalisation</t>
    </r>
  </si>
  <si>
    <r>
      <rPr>
        <b/>
        <sz val="11"/>
        <color theme="1"/>
        <rFont val="Aptos Narrow"/>
        <family val="2"/>
        <scheme val="minor"/>
      </rPr>
      <t>A</t>
    </r>
    <r>
      <rPr>
        <sz val="11"/>
        <color theme="1"/>
        <rFont val="Aptos Narrow"/>
        <family val="2"/>
        <scheme val="minor"/>
      </rPr>
      <t xml:space="preserve"> standardised</t>
    </r>
  </si>
  <si>
    <t>Norm row</t>
  </si>
  <si>
    <t>A</t>
  </si>
  <si>
    <t>Column 4</t>
  </si>
  <si>
    <t>Column 3</t>
  </si>
  <si>
    <t>Column 2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</si>
  <si>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D</t>
    </r>
    <r>
      <rPr>
        <vertAlign val="superscript"/>
        <sz val="11"/>
        <color theme="1"/>
        <rFont val="Aptos Narrow"/>
        <family val="2"/>
        <scheme val="minor"/>
      </rPr>
      <t>-1</t>
    </r>
  </si>
  <si>
    <t>Column 1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</si>
  <si>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=Standardised matrix A</t>
    </r>
  </si>
  <si>
    <r>
      <t>Corr = D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>D</t>
    </r>
    <r>
      <rPr>
        <vertAlign val="superscript"/>
        <sz val="11"/>
        <color theme="1"/>
        <rFont val="Aptos Narrow"/>
        <family val="2"/>
      </rPr>
      <t>-1</t>
    </r>
    <r>
      <rPr>
        <sz val="11"/>
        <color theme="1"/>
        <rFont val="Aptos Narrow"/>
        <family val="2"/>
        <scheme val="minor"/>
      </rPr>
      <t xml:space="preserve">, where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 xml:space="preserve"> is covar of raw data</t>
    </r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</si>
  <si>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=X-1</t>
    </r>
    <r>
      <rPr>
        <sz val="11"/>
        <color theme="1"/>
        <rFont val="Symbol"/>
        <family val="1"/>
        <charset val="2"/>
      </rPr>
      <t>m</t>
    </r>
    <r>
      <rPr>
        <vertAlign val="superscript"/>
        <sz val="8.8000000000000007"/>
        <color theme="1"/>
        <rFont val="Aptos Narrow"/>
        <family val="2"/>
      </rPr>
      <t>T</t>
    </r>
  </si>
  <si>
    <t>or in matrix format: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</si>
  <si>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=X - </t>
    </r>
    <r>
      <rPr>
        <sz val="11"/>
        <color theme="1"/>
        <rFont val="Symbol"/>
        <family val="1"/>
        <charset val="2"/>
      </rPr>
      <t>m</t>
    </r>
  </si>
  <si>
    <t>Correlation from Data Analysis add-in</t>
  </si>
  <si>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ptos Narrow"/>
        <family val="2"/>
      </rPr>
      <t>=columns' dt devs</t>
    </r>
  </si>
  <si>
    <t>X = matrix</t>
  </si>
  <si>
    <t>Standardised (conventional)</t>
  </si>
  <si>
    <r>
      <t>X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D</t>
    </r>
    <r>
      <rPr>
        <vertAlign val="superscript"/>
        <sz val="11"/>
        <color theme="1"/>
        <rFont val="Aptos Narrow"/>
        <family val="2"/>
        <scheme val="minor"/>
      </rPr>
      <t>-1</t>
    </r>
  </si>
  <si>
    <t>Standardised data</t>
  </si>
  <si>
    <t>SD= D</t>
  </si>
  <si>
    <r>
      <t>Centred=X</t>
    </r>
    <r>
      <rPr>
        <vertAlign val="subscript"/>
        <sz val="11"/>
        <color theme="1"/>
        <rFont val="Aptos Narrow"/>
        <family val="2"/>
        <scheme val="minor"/>
      </rPr>
      <t>C</t>
    </r>
  </si>
  <si>
    <t>Covariance matrix (single formula)</t>
  </si>
  <si>
    <t>Data / Data Analysis add-in / Covariance</t>
  </si>
  <si>
    <r>
      <t>1/(N-1)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</si>
  <si>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Manual .S</t>
  </si>
  <si>
    <t>Means</t>
  </si>
  <si>
    <t>Person 6</t>
  </si>
  <si>
    <t>1/(N-1)</t>
  </si>
  <si>
    <t>Person 5</t>
  </si>
  <si>
    <t>N-1=</t>
  </si>
  <si>
    <t>Person 4</t>
  </si>
  <si>
    <t>No. of people</t>
  </si>
  <si>
    <t>Person 3</t>
  </si>
  <si>
    <t>m x n=</t>
  </si>
  <si>
    <t>Person 2</t>
  </si>
  <si>
    <t>columns</t>
  </si>
  <si>
    <t>n=</t>
  </si>
  <si>
    <t>Person 1</t>
  </si>
  <si>
    <r>
      <t>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</si>
  <si>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Manual .P</t>
  </si>
  <si>
    <r>
      <t>Centred X</t>
    </r>
    <r>
      <rPr>
        <vertAlign val="subscript"/>
        <sz val="11"/>
        <color theme="1"/>
        <rFont val="Aptos Narrow"/>
        <family val="2"/>
        <scheme val="minor"/>
      </rPr>
      <t>c</t>
    </r>
  </si>
  <si>
    <t>rows</t>
  </si>
  <si>
    <t>m=</t>
  </si>
  <si>
    <t>Var 4</t>
  </si>
  <si>
    <t>Var 3</t>
  </si>
  <si>
    <t>Var 2</t>
  </si>
  <si>
    <t>Var 1</t>
  </si>
  <si>
    <t>X</t>
  </si>
  <si>
    <t>Spectral from centred Correl C(c)</t>
  </si>
  <si>
    <t>Spectral from stdzd Covar B(c)</t>
  </si>
  <si>
    <t>Spectral from raw Covar A(c)</t>
  </si>
  <si>
    <t>Raw data and centred data produce the same covariance matrix. Therefore, their spectral components are the same too</t>
  </si>
  <si>
    <t>Spectral components of the covariance matrix from standardised data is different from raw data and centred data</t>
  </si>
  <si>
    <t>Covariance matrix of standardised data is the same as the correlation matrix of raw data (or centred data)</t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</si>
  <si>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D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</si>
  <si>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=Standardised matrix A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</si>
  <si>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>=A-1</t>
    </r>
    <r>
      <rPr>
        <sz val="11"/>
        <color theme="1"/>
        <rFont val="Symbol"/>
        <family val="1"/>
        <charset val="2"/>
      </rPr>
      <t>m</t>
    </r>
    <r>
      <rPr>
        <vertAlign val="superscript"/>
        <sz val="8.8000000000000007"/>
        <color theme="1"/>
        <rFont val="Aptos Narrow"/>
        <family val="2"/>
      </rPr>
      <t>T</t>
    </r>
  </si>
  <si>
    <r>
      <t>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=A - </t>
    </r>
    <r>
      <rPr>
        <sz val="11"/>
        <color theme="1"/>
        <rFont val="Symbol"/>
        <family val="1"/>
        <charset val="2"/>
      </rPr>
      <t>m</t>
    </r>
  </si>
  <si>
    <t>A = matrix</t>
  </si>
  <si>
    <t>Spectral from centred Correl C(r)</t>
  </si>
  <si>
    <t>Spectral from stdzd Correl B(r)</t>
  </si>
  <si>
    <t>Spectral from raw data Correl A(r)</t>
  </si>
  <si>
    <r>
      <t>A</t>
    </r>
    <r>
      <rPr>
        <vertAlign val="subscript"/>
        <sz val="11"/>
        <color theme="1"/>
        <rFont val="Aptos Narrow"/>
        <family val="2"/>
        <scheme val="minor"/>
      </rPr>
      <t>S</t>
    </r>
    <r>
      <rPr>
        <sz val="11"/>
        <color theme="1"/>
        <rFont val="Aptos Narrow"/>
        <family val="2"/>
        <scheme val="minor"/>
      </rPr>
      <t>=A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D</t>
    </r>
    <r>
      <rPr>
        <vertAlign val="superscript"/>
        <sz val="11"/>
        <color theme="1"/>
        <rFont val="Aptos Narrow"/>
        <family val="2"/>
        <scheme val="minor"/>
      </rPr>
      <t>-1</t>
    </r>
  </si>
  <si>
    <r>
      <t>Standardised data A</t>
    </r>
    <r>
      <rPr>
        <vertAlign val="subscript"/>
        <sz val="11"/>
        <color theme="1"/>
        <rFont val="Aptos Narrow"/>
        <family val="2"/>
        <scheme val="minor"/>
      </rPr>
      <t>S</t>
    </r>
  </si>
  <si>
    <r>
      <t>Centred=A</t>
    </r>
    <r>
      <rPr>
        <vertAlign val="subscript"/>
        <sz val="11"/>
        <color theme="1"/>
        <rFont val="Aptos Narrow"/>
        <family val="2"/>
        <scheme val="minor"/>
      </rPr>
      <t>C</t>
    </r>
  </si>
  <si>
    <t>Covar from centred data C(c)</t>
  </si>
  <si>
    <t>Covar from stdzd data B(c)</t>
  </si>
  <si>
    <t>Covar from raw data A(c)</t>
  </si>
  <si>
    <t>5. Spectral decomposition of the Covariance matrix based on raw data is different from any other decomposition</t>
  </si>
  <si>
    <t>4. Spectral decomposition of the covariance matrix based on centred data and the correlation matrix based on centred data are the same</t>
  </si>
  <si>
    <t>3. Spectral decomposition of the covariance matrix based on stdzd data and the correlation matrix based on raw data are the same</t>
  </si>
  <si>
    <t>2. Correlation is the same for raw data and stdzd data, but it is different for centred data (because cenred data do not normalise variances)</t>
  </si>
  <si>
    <t>1. Covar is different, depending we use raw, standardized or centred data</t>
  </si>
  <si>
    <t>NOTE:---------These notes were OK for the population data, but not for the sample!!!!!!!!!!!!</t>
  </si>
  <si>
    <t>Correl from centred data C(r)</t>
  </si>
  <si>
    <t>Correl from stdzd data B(r)</t>
  </si>
  <si>
    <t>Correl from raw data A(r)</t>
  </si>
  <si>
    <t>St Dev</t>
  </si>
  <si>
    <t>Avrg</t>
  </si>
  <si>
    <t>St Devs of C</t>
  </si>
  <si>
    <t>St Devs of A</t>
  </si>
  <si>
    <t>Centred data C</t>
  </si>
  <si>
    <t>Standardised data B</t>
  </si>
  <si>
    <t>Raw data A</t>
  </si>
  <si>
    <t>V from SVD</t>
  </si>
  <si>
    <t>NOTE: V from EVD is of opposite sign to</t>
  </si>
  <si>
    <t>Recomposed C</t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</si>
  <si>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SCL=1/(N-1)</t>
    </r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</si>
  <si>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  <scheme val="minor"/>
      </rPr>
      <t>(N-1)</t>
    </r>
  </si>
  <si>
    <r>
      <t>Recomposed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sz val="11"/>
        <color theme="1"/>
        <rFont val="Aptos Narrow"/>
        <family val="2"/>
        <scheme val="minor"/>
      </rPr>
      <t xml:space="preserve"> =U </t>
    </r>
    <r>
      <rPr>
        <sz val="11"/>
        <color theme="1"/>
        <rFont val="Symbol"/>
        <family val="1"/>
        <charset val="2"/>
      </rPr>
      <t>S</t>
    </r>
    <r>
      <rPr>
        <sz val="9.9"/>
        <color theme="1"/>
        <rFont val="Aptos Narrow"/>
        <family val="2"/>
      </rPr>
      <t xml:space="preserve"> V</t>
    </r>
    <r>
      <rPr>
        <vertAlign val="superscript"/>
        <sz val="9.9"/>
        <color theme="1"/>
        <rFont val="Aptos Narrow"/>
        <family val="2"/>
      </rPr>
      <t>T</t>
    </r>
  </si>
  <si>
    <t>l = s</t>
  </si>
  <si>
    <r>
      <t>l = 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Aptos Narrow"/>
        <family val="2"/>
        <scheme val="minor"/>
      </rPr>
      <t xml:space="preserve"> and</t>
    </r>
    <r>
      <rPr>
        <sz val="11"/>
        <color theme="1"/>
        <rFont val="Symbol"/>
        <family val="1"/>
        <charset val="2"/>
      </rPr>
      <t xml:space="preserve"> s = Öl</t>
    </r>
  </si>
  <si>
    <r>
      <t>l = (N-1)s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Aptos Narrow"/>
        <family val="2"/>
        <scheme val="minor"/>
      </rPr>
      <t xml:space="preserve"> and </t>
    </r>
    <r>
      <rPr>
        <sz val="11"/>
        <color theme="1"/>
        <rFont val="Symbol"/>
        <family val="1"/>
        <charset val="2"/>
      </rPr>
      <t xml:space="preserve">s </t>
    </r>
    <r>
      <rPr>
        <sz val="11"/>
        <color theme="1"/>
        <rFont val="Aptos Narrow"/>
        <family val="2"/>
      </rPr>
      <t xml:space="preserve">= 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</t>
    </r>
    <r>
      <rPr>
        <sz val="11"/>
        <color theme="1"/>
        <rFont val="Symbol"/>
        <family val="1"/>
        <charset val="2"/>
      </rPr>
      <t>l/(N-1))</t>
    </r>
  </si>
  <si>
    <r>
      <t>l = s</t>
    </r>
    <r>
      <rPr>
        <vertAlign val="superscript"/>
        <sz val="11"/>
        <color theme="1"/>
        <rFont val="Symbol"/>
        <family val="1"/>
        <charset val="2"/>
      </rPr>
      <t>2</t>
    </r>
    <r>
      <rPr>
        <sz val="11"/>
        <color theme="1"/>
        <rFont val="Symbol"/>
        <family val="1"/>
        <charset val="2"/>
      </rPr>
      <t>/(N-1)</t>
    </r>
    <r>
      <rPr>
        <sz val="11"/>
        <color theme="1"/>
        <rFont val="Aptos Narrow"/>
        <family val="2"/>
        <scheme val="minor"/>
      </rPr>
      <t xml:space="preserve"> and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Aptos Narrow"/>
        <family val="2"/>
      </rPr>
      <t xml:space="preserve"> = </t>
    </r>
    <r>
      <rPr>
        <sz val="11"/>
        <color theme="1"/>
        <rFont val="Symbol"/>
        <family val="1"/>
        <charset val="2"/>
      </rPr>
      <t>Öl</t>
    </r>
    <r>
      <rPr>
        <sz val="11"/>
        <color theme="1"/>
        <rFont val="Aptos Narrow"/>
        <family val="2"/>
      </rPr>
      <t>(N-1)</t>
    </r>
  </si>
  <si>
    <t>V</t>
  </si>
  <si>
    <t>L</t>
  </si>
  <si>
    <r>
      <rPr>
        <sz val="11"/>
        <color theme="1"/>
        <rFont val="Symbol"/>
        <family val="1"/>
        <charset val="2"/>
      </rPr>
      <t>L</t>
    </r>
    <r>
      <rPr>
        <sz val="11"/>
        <color theme="1"/>
        <rFont val="Aptos Narrow"/>
        <family val="2"/>
      </rPr>
      <t xml:space="preserve"> and V of C</t>
    </r>
  </si>
  <si>
    <r>
      <t>S</t>
    </r>
    <r>
      <rPr>
        <sz val="11"/>
        <color theme="1"/>
        <rFont val="Aptos Narrow"/>
        <family val="2"/>
        <scheme val="minor"/>
      </rPr>
      <t xml:space="preserve"> of C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</si>
  <si>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Symbol"/>
        <family val="1"/>
        <charset val="2"/>
      </rPr>
      <t xml:space="preserve"> </t>
    </r>
    <r>
      <rPr>
        <sz val="11"/>
        <color theme="1"/>
        <rFont val="Aptos Narrow"/>
        <family val="2"/>
        <scheme val="minor"/>
      </rPr>
      <t>where SCL=1/(N-1)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</si>
  <si>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Symbol"/>
        <family val="1"/>
        <charset val="2"/>
      </rPr>
      <t xml:space="preserve"> </t>
    </r>
    <r>
      <rPr>
        <sz val="11"/>
        <color theme="1"/>
        <rFont val="Aptos Narrow"/>
        <family val="2"/>
        <scheme val="minor"/>
      </rPr>
      <t>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  <scheme val="minor"/>
      </rPr>
      <t>(N-1)</t>
    </r>
  </si>
  <si>
    <r>
      <t>S</t>
    </r>
    <r>
      <rPr>
        <sz val="11"/>
        <color theme="1"/>
        <rFont val="Aptos Narrow"/>
        <family val="2"/>
        <scheme val="minor"/>
      </rPr>
      <t xml:space="preserve"> of X</t>
    </r>
    <r>
      <rPr>
        <vertAlign val="subscript"/>
        <sz val="11"/>
        <color theme="1"/>
        <rFont val="Aptos Narrow"/>
        <family val="2"/>
        <scheme val="minor"/>
      </rPr>
      <t>C</t>
    </r>
  </si>
  <si>
    <t>V of C</t>
  </si>
  <si>
    <r>
      <t>V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</si>
  <si>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V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</t>
    </r>
    <r>
      <rPr>
        <sz val="11"/>
        <color theme="1"/>
        <rFont val="Aptos Narrow"/>
        <family val="2"/>
      </rPr>
      <t>(N-1)</t>
    </r>
  </si>
  <si>
    <r>
      <t>V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</si>
  <si>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 xml:space="preserve">C = V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/(N-1) V</t>
    </r>
    <r>
      <rPr>
        <vertAlign val="superscript"/>
        <sz val="11"/>
        <color theme="1"/>
        <rFont val="Aptos Narrow"/>
        <family val="2"/>
        <scheme val="minor"/>
      </rPr>
      <t>T</t>
    </r>
  </si>
  <si>
    <t>U of C</t>
  </si>
  <si>
    <r>
      <t>U of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where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</si>
  <si>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U of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where SCL=1/</t>
    </r>
    <r>
      <rPr>
        <sz val="11"/>
        <color theme="1"/>
        <rFont val="Aptos Narrow"/>
        <family val="2"/>
      </rPr>
      <t>(N-1)</t>
    </r>
  </si>
  <si>
    <r>
      <t>U of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</si>
  <si>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 xml:space="preserve">           = V </t>
    </r>
    <r>
      <rPr>
        <sz val="11"/>
        <color theme="1"/>
        <rFont val="Symbol"/>
        <family val="1"/>
        <charset val="2"/>
      </rPr>
      <t>S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V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</si>
  <si>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C =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</si>
  <si>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 = 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</si>
  <si>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r>
      <t>C = 1/(N-1) X</t>
    </r>
    <r>
      <rPr>
        <vertAlign val="subscript"/>
        <sz val="11"/>
        <color theme="1"/>
        <rFont val="Aptos Narrow"/>
        <family val="2"/>
        <scheme val="minor"/>
      </rPr>
      <t>C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bscript"/>
        <sz val="11"/>
        <color theme="1"/>
        <rFont val="Aptos Narrow"/>
        <family val="2"/>
        <scheme val="minor"/>
      </rPr>
      <t>C</t>
    </r>
  </si>
  <si>
    <t>Q2</t>
  </si>
  <si>
    <t>J2</t>
  </si>
  <si>
    <t>B12</t>
  </si>
  <si>
    <r>
      <t>Centred and scaled  X</t>
    </r>
    <r>
      <rPr>
        <vertAlign val="subscript"/>
        <sz val="11"/>
        <color theme="1"/>
        <rFont val="Aptos Narrow"/>
        <family val="2"/>
        <scheme val="minor"/>
      </rPr>
      <t>C,SCLQ</t>
    </r>
    <r>
      <rPr>
        <sz val="11"/>
        <color theme="1"/>
        <rFont val="Aptos Narrow"/>
        <family val="2"/>
        <scheme val="minor"/>
      </rPr>
      <t xml:space="preserve"> SCLQ=1/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Aptos Narrow"/>
        <family val="2"/>
      </rPr>
      <t>(N-1)</t>
    </r>
  </si>
  <si>
    <r>
      <t>Centred and scaled  X</t>
    </r>
    <r>
      <rPr>
        <vertAlign val="subscript"/>
        <sz val="11"/>
        <color theme="1"/>
        <rFont val="Aptos Narrow"/>
        <family val="2"/>
        <scheme val="minor"/>
      </rPr>
      <t>C,SCL</t>
    </r>
    <r>
      <rPr>
        <sz val="11"/>
        <color theme="1"/>
        <rFont val="Aptos Narrow"/>
        <family val="2"/>
        <scheme val="minor"/>
      </rPr>
      <t xml:space="preserve"> SCL=1/(N-1)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</si>
</sst>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sz val="11"/>
      <color theme="1"/>
      <name val="Aptos Narrow"/>
      <family val="1"/>
      <charset val="2"/>
    </font>
    <font>
      <vertAlign val="superscript"/>
      <sz val="11"/>
      <color theme="1"/>
      <name val="Aptos Narrow"/>
      <family val="2"/>
    </font>
    <font>
      <vertAlign val="superscript"/>
      <sz val="8.8000000000000007"/>
      <color theme="1"/>
      <name val="Aptos Narrow"/>
      <family val="2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.9"/>
      <color theme="1"/>
      <name val="Aptos Narrow"/>
      <family val="2"/>
    </font>
    <font>
      <vertAlign val="superscript"/>
      <sz val="9.9"/>
      <color theme="1"/>
      <name val="Aptos Narrow"/>
      <family val="2"/>
    </font>
    <font>
      <vertAlign val="superscript"/>
      <sz val="11"/>
      <color theme="1"/>
      <name val="Symbol"/>
      <family val="1"/>
      <charset val="2"/>
    </font>
    <font>
      <b/>
      <sz val="11"/>
      <color theme="1"/>
      <name val="Symbol"/>
      <family val="1"/>
      <charset val="2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0" fillId="0" borderId="0" xfId="0" quotePrefix="1"/>
    <xf numFmtId="2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5" fillId="0" borderId="0" xfId="0" applyFont="1"/>
    <xf numFmtId="1" fontId="0" fillId="0" borderId="0" xfId="0" applyNumberFormat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0" fontId="0" fillId="0" borderId="4" xfId="0" applyBorder="1"/>
    <xf numFmtId="0" fontId="0" fillId="0" borderId="6" xfId="0" applyBorder="1"/>
    <xf numFmtId="0" fontId="0" fillId="0" borderId="4" xfId="0" quotePrefix="1" applyBorder="1"/>
    <xf numFmtId="2" fontId="0" fillId="0" borderId="5" xfId="0" quotePrefix="1" applyNumberFormat="1" applyBorder="1"/>
    <xf numFmtId="0" fontId="0" fillId="0" borderId="6" xfId="0" quotePrefix="1" applyBorder="1"/>
    <xf numFmtId="0" fontId="0" fillId="0" borderId="7" xfId="0" applyBorder="1"/>
    <xf numFmtId="0" fontId="0" fillId="0" borderId="8" xfId="0" applyBorder="1"/>
    <xf numFmtId="0" fontId="0" fillId="0" borderId="7" xfId="0" quotePrefix="1" applyBorder="1"/>
    <xf numFmtId="0" fontId="0" fillId="0" borderId="8" xfId="0" quotePrefix="1" applyBorder="1"/>
    <xf numFmtId="0" fontId="0" fillId="0" borderId="9" xfId="0" applyBorder="1"/>
    <xf numFmtId="0" fontId="0" fillId="0" borderId="11" xfId="0" applyBorder="1"/>
    <xf numFmtId="0" fontId="0" fillId="0" borderId="9" xfId="0" quotePrefix="1" applyBorder="1"/>
    <xf numFmtId="0" fontId="0" fillId="0" borderId="10" xfId="0" quotePrefix="1" applyBorder="1"/>
    <xf numFmtId="0" fontId="0" fillId="0" borderId="11" xfId="0" quotePrefix="1" applyBorder="1"/>
    <xf numFmtId="0" fontId="0" fillId="0" borderId="5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64" fontId="0" fillId="0" borderId="0" xfId="0" applyNumberFormat="1"/>
    <xf numFmtId="0" fontId="8" fillId="0" borderId="0" xfId="0" applyFont="1" applyAlignment="1">
      <alignment horizontal="right"/>
    </xf>
    <xf numFmtId="0" fontId="0" fillId="2" borderId="7" xfId="0" applyFill="1" applyBorder="1"/>
    <xf numFmtId="0" fontId="0" fillId="2" borderId="0" xfId="0" applyFill="1"/>
    <xf numFmtId="0" fontId="0" fillId="2" borderId="8" xfId="0" applyFill="1" applyBorder="1"/>
    <xf numFmtId="0" fontId="0" fillId="0" borderId="10" xfId="0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0" xfId="0" applyAlignment="1">
      <alignment horizontal="right"/>
    </xf>
    <xf numFmtId="0" fontId="1" fillId="0" borderId="0" xfId="0" applyFont="1"/>
    <xf numFmtId="0" fontId="0" fillId="0" borderId="12" xfId="0" applyBorder="1"/>
    <xf numFmtId="2" fontId="0" fillId="0" borderId="12" xfId="0" applyNumberFormat="1" applyBorder="1"/>
    <xf numFmtId="0" fontId="5" fillId="0" borderId="13" xfId="0" applyFont="1" applyBorder="1" applyAlignment="1">
      <alignment horizontal="center"/>
    </xf>
    <xf numFmtId="0" fontId="8" fillId="0" borderId="0" xfId="0" applyFont="1"/>
    <xf numFmtId="2" fontId="0" fillId="0" borderId="8" xfId="0" quotePrefix="1" applyNumberFormat="1" applyBorder="1"/>
    <xf numFmtId="2" fontId="0" fillId="0" borderId="14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0" fontId="0" fillId="0" borderId="16" xfId="0" applyBorder="1"/>
    <xf numFmtId="0" fontId="11" fillId="0" borderId="0" xfId="0" applyFont="1"/>
    <xf numFmtId="0" fontId="0" fillId="0" borderId="0" xfId="0" applyAlignment="1">
      <alignment horizontal="center"/>
    </xf>
    <xf numFmtId="0" fontId="0" fillId="0" borderId="14" xfId="0" applyBorder="1"/>
    <xf numFmtId="0" fontId="0" fillId="0" borderId="15" xfId="0" applyBorder="1"/>
    <xf numFmtId="0" fontId="1" fillId="0" borderId="16" xfId="0" applyFont="1" applyBorder="1" applyAlignment="1">
      <alignment horizontal="left"/>
    </xf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4" borderId="7" xfId="0" applyFill="1" applyBorder="1"/>
    <xf numFmtId="0" fontId="0" fillId="4" borderId="0" xfId="0" applyFill="1"/>
    <xf numFmtId="0" fontId="0" fillId="4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5" xfId="0" applyBorder="1" applyAlignment="1">
      <alignment horizontal="center"/>
    </xf>
    <xf numFmtId="0" fontId="0" fillId="5" borderId="12" xfId="0" applyFill="1" applyBorder="1"/>
    <xf numFmtId="0" fontId="0" fillId="6" borderId="12" xfId="0" applyFill="1" applyBorder="1"/>
    <xf numFmtId="0" fontId="0" fillId="6" borderId="0" xfId="0" applyFill="1"/>
    <xf numFmtId="0" fontId="0" fillId="5" borderId="0" xfId="0" applyFill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2" fontId="0" fillId="0" borderId="4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2" fontId="0" fillId="7" borderId="17" xfId="0" applyNumberFormat="1" applyFill="1" applyBorder="1"/>
    <xf numFmtId="2" fontId="0" fillId="7" borderId="12" xfId="0" applyNumberFormat="1" applyFill="1" applyBorder="1"/>
    <xf numFmtId="2" fontId="0" fillId="7" borderId="18" xfId="0" applyNumberFormat="1" applyFill="1" applyBorder="1"/>
    <xf numFmtId="2" fontId="0" fillId="8" borderId="17" xfId="0" applyNumberFormat="1" applyFill="1" applyBorder="1"/>
    <xf numFmtId="2" fontId="0" fillId="8" borderId="12" xfId="0" applyNumberFormat="1" applyFill="1" applyBorder="1"/>
    <xf numFmtId="2" fontId="0" fillId="8" borderId="18" xfId="0" applyNumberFormat="1" applyFill="1" applyBorder="1"/>
    <xf numFmtId="2" fontId="0" fillId="2" borderId="17" xfId="0" applyNumberFormat="1" applyFill="1" applyBorder="1"/>
    <xf numFmtId="2" fontId="0" fillId="2" borderId="12" xfId="0" applyNumberFormat="1" applyFill="1" applyBorder="1"/>
    <xf numFmtId="2" fontId="0" fillId="2" borderId="18" xfId="0" applyNumberFormat="1" applyFill="1" applyBorder="1"/>
    <xf numFmtId="2" fontId="0" fillId="7" borderId="19" xfId="0" applyNumberFormat="1" applyFill="1" applyBorder="1"/>
    <xf numFmtId="2" fontId="0" fillId="7" borderId="0" xfId="0" applyNumberFormat="1" applyFill="1"/>
    <xf numFmtId="2" fontId="0" fillId="7" borderId="20" xfId="0" applyNumberFormat="1" applyFill="1" applyBorder="1"/>
    <xf numFmtId="2" fontId="0" fillId="8" borderId="19" xfId="0" applyNumberFormat="1" applyFill="1" applyBorder="1"/>
    <xf numFmtId="2" fontId="0" fillId="8" borderId="0" xfId="0" applyNumberFormat="1" applyFill="1"/>
    <xf numFmtId="2" fontId="0" fillId="8" borderId="20" xfId="0" applyNumberFormat="1" applyFill="1" applyBorder="1"/>
    <xf numFmtId="2" fontId="0" fillId="2" borderId="19" xfId="0" applyNumberFormat="1" applyFill="1" applyBorder="1"/>
    <xf numFmtId="2" fontId="0" fillId="2" borderId="0" xfId="0" applyNumberFormat="1" applyFill="1"/>
    <xf numFmtId="2" fontId="0" fillId="2" borderId="20" xfId="0" applyNumberFormat="1" applyFill="1" applyBorder="1"/>
    <xf numFmtId="2" fontId="0" fillId="9" borderId="17" xfId="0" applyNumberFormat="1" applyFill="1" applyBorder="1"/>
    <xf numFmtId="2" fontId="0" fillId="9" borderId="12" xfId="0" applyNumberFormat="1" applyFill="1" applyBorder="1"/>
    <xf numFmtId="2" fontId="0" fillId="9" borderId="18" xfId="0" applyNumberFormat="1" applyFill="1" applyBorder="1"/>
    <xf numFmtId="0" fontId="12" fillId="0" borderId="0" xfId="0" applyFont="1"/>
    <xf numFmtId="2" fontId="0" fillId="9" borderId="19" xfId="0" applyNumberFormat="1" applyFill="1" applyBorder="1"/>
    <xf numFmtId="2" fontId="0" fillId="9" borderId="0" xfId="0" applyNumberFormat="1" applyFill="1"/>
    <xf numFmtId="2" fontId="0" fillId="9" borderId="20" xfId="0" applyNumberFormat="1" applyFill="1" applyBorder="1"/>
    <xf numFmtId="2" fontId="0" fillId="9" borderId="21" xfId="0" applyNumberFormat="1" applyFill="1" applyBorder="1"/>
    <xf numFmtId="2" fontId="0" fillId="9" borderId="22" xfId="0" applyNumberFormat="1" applyFill="1" applyBorder="1"/>
    <xf numFmtId="2" fontId="0" fillId="9" borderId="23" xfId="0" applyNumberFormat="1" applyFill="1" applyBorder="1"/>
    <xf numFmtId="2" fontId="0" fillId="7" borderId="21" xfId="0" applyNumberFormat="1" applyFill="1" applyBorder="1"/>
    <xf numFmtId="2" fontId="0" fillId="7" borderId="22" xfId="0" applyNumberFormat="1" applyFill="1" applyBorder="1"/>
    <xf numFmtId="2" fontId="0" fillId="7" borderId="23" xfId="0" applyNumberFormat="1" applyFill="1" applyBorder="1"/>
    <xf numFmtId="2" fontId="0" fillId="8" borderId="21" xfId="0" applyNumberFormat="1" applyFill="1" applyBorder="1"/>
    <xf numFmtId="2" fontId="0" fillId="8" borderId="22" xfId="0" applyNumberFormat="1" applyFill="1" applyBorder="1"/>
    <xf numFmtId="2" fontId="0" fillId="8" borderId="23" xfId="0" applyNumberFormat="1" applyFill="1" applyBorder="1"/>
    <xf numFmtId="2" fontId="0" fillId="2" borderId="21" xfId="0" applyNumberFormat="1" applyFill="1" applyBorder="1"/>
    <xf numFmtId="2" fontId="0" fillId="2" borderId="22" xfId="0" applyNumberFormat="1" applyFill="1" applyBorder="1"/>
    <xf numFmtId="2" fontId="0" fillId="2" borderId="23" xfId="0" applyNumberFormat="1" applyFill="1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4" fontId="0" fillId="0" borderId="17" xfId="0" applyNumberFormat="1" applyBorder="1"/>
    <xf numFmtId="164" fontId="0" fillId="0" borderId="12" xfId="0" applyNumberFormat="1" applyBorder="1"/>
    <xf numFmtId="164" fontId="0" fillId="0" borderId="18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0" fontId="6" fillId="10" borderId="0" xfId="0" applyFont="1" applyFill="1"/>
    <xf numFmtId="0" fontId="0" fillId="10" borderId="0" xfId="0" applyFill="1"/>
    <xf numFmtId="164" fontId="0" fillId="11" borderId="19" xfId="0" applyNumberFormat="1" applyFill="1" applyBorder="1"/>
    <xf numFmtId="164" fontId="0" fillId="11" borderId="0" xfId="0" applyNumberFormat="1" applyFill="1"/>
    <xf numFmtId="164" fontId="0" fillId="11" borderId="20" xfId="0" applyNumberFormat="1" applyFill="1" applyBorder="1"/>
    <xf numFmtId="164" fontId="0" fillId="5" borderId="17" xfId="0" applyNumberFormat="1" applyFill="1" applyBorder="1"/>
    <xf numFmtId="0" fontId="0" fillId="0" borderId="18" xfId="0" applyBorder="1"/>
    <xf numFmtId="164" fontId="0" fillId="5" borderId="0" xfId="0" applyNumberFormat="1" applyFill="1"/>
    <xf numFmtId="0" fontId="1" fillId="0" borderId="0" xfId="0" applyFont="1" applyAlignment="1">
      <alignment horizontal="right"/>
    </xf>
    <xf numFmtId="0" fontId="0" fillId="0" borderId="19" xfId="0" applyBorder="1"/>
    <xf numFmtId="0" fontId="0" fillId="0" borderId="20" xfId="0" applyBorder="1"/>
    <xf numFmtId="164" fontId="0" fillId="11" borderId="21" xfId="0" applyNumberFormat="1" applyFill="1" applyBorder="1"/>
    <xf numFmtId="164" fontId="0" fillId="11" borderId="22" xfId="0" applyNumberFormat="1" applyFill="1" applyBorder="1"/>
    <xf numFmtId="164" fontId="0" fillId="11" borderId="23" xfId="0" applyNumberFormat="1" applyFill="1" applyBorder="1"/>
    <xf numFmtId="0" fontId="16" fillId="0" borderId="0" xfId="0" applyFont="1" applyAlignment="1">
      <alignment horizontal="right"/>
    </xf>
    <xf numFmtId="164" fontId="0" fillId="5" borderId="24" xfId="0" applyNumberFormat="1" applyFill="1" applyBorder="1"/>
    <xf numFmtId="164" fontId="0" fillId="5" borderId="25" xfId="0" applyNumberFormat="1" applyFill="1" applyBorder="1"/>
    <xf numFmtId="164" fontId="0" fillId="5" borderId="26" xfId="0" applyNumberFormat="1" applyFill="1" applyBorder="1"/>
    <xf numFmtId="164" fontId="0" fillId="5" borderId="23" xfId="0" applyNumberFormat="1" applyFill="1" applyBorder="1"/>
    <xf numFmtId="0" fontId="8" fillId="0" borderId="26" xfId="0" applyFont="1" applyBorder="1"/>
    <xf numFmtId="0" fontId="6" fillId="0" borderId="26" xfId="0" applyFont="1" applyBorder="1"/>
    <xf numFmtId="164" fontId="0" fillId="12" borderId="17" xfId="0" applyNumberFormat="1" applyFill="1" applyBorder="1"/>
    <xf numFmtId="164" fontId="0" fillId="12" borderId="12" xfId="0" applyNumberFormat="1" applyFill="1" applyBorder="1"/>
    <xf numFmtId="164" fontId="0" fillId="12" borderId="18" xfId="0" applyNumberFormat="1" applyFill="1" applyBorder="1"/>
    <xf numFmtId="164" fontId="0" fillId="12" borderId="19" xfId="0" applyNumberFormat="1" applyFill="1" applyBorder="1"/>
    <xf numFmtId="164" fontId="0" fillId="12" borderId="0" xfId="0" applyNumberFormat="1" applyFill="1"/>
    <xf numFmtId="164" fontId="0" fillId="12" borderId="20" xfId="0" applyNumberFormat="1" applyFill="1" applyBorder="1"/>
    <xf numFmtId="164" fontId="0" fillId="12" borderId="21" xfId="0" applyNumberFormat="1" applyFill="1" applyBorder="1"/>
    <xf numFmtId="164" fontId="0" fillId="12" borderId="22" xfId="0" applyNumberFormat="1" applyFill="1" applyBorder="1"/>
    <xf numFmtId="164" fontId="0" fillId="12" borderId="23" xfId="0" applyNumberFormat="1" applyFill="1" applyBorder="1"/>
    <xf numFmtId="164" fontId="0" fillId="6" borderId="17" xfId="0" applyNumberFormat="1" applyFill="1" applyBorder="1"/>
    <xf numFmtId="164" fontId="0" fillId="6" borderId="12" xfId="0" applyNumberFormat="1" applyFill="1" applyBorder="1"/>
    <xf numFmtId="164" fontId="0" fillId="6" borderId="18" xfId="0" applyNumberFormat="1" applyFill="1" applyBorder="1"/>
    <xf numFmtId="164" fontId="0" fillId="6" borderId="19" xfId="0" applyNumberFormat="1" applyFill="1" applyBorder="1"/>
    <xf numFmtId="164" fontId="0" fillId="6" borderId="0" xfId="0" applyNumberFormat="1" applyFill="1"/>
    <xf numFmtId="164" fontId="0" fillId="6" borderId="20" xfId="0" applyNumberFormat="1" applyFill="1" applyBorder="1"/>
    <xf numFmtId="164" fontId="0" fillId="6" borderId="21" xfId="0" applyNumberFormat="1" applyFill="1" applyBorder="1"/>
    <xf numFmtId="164" fontId="0" fillId="6" borderId="22" xfId="0" applyNumberFormat="1" applyFill="1" applyBorder="1"/>
    <xf numFmtId="164" fontId="0" fillId="6" borderId="23" xfId="0" applyNumberFormat="1" applyFill="1" applyBorder="1"/>
    <xf numFmtId="0" fontId="0" fillId="0" borderId="26" xfId="0" applyBorder="1" applyAlignment="1">
      <alignment vertical="top"/>
    </xf>
    <xf numFmtId="2" fontId="0" fillId="13" borderId="17" xfId="0" applyNumberFormat="1" applyFill="1" applyBorder="1"/>
    <xf numFmtId="2" fontId="0" fillId="13" borderId="12" xfId="0" applyNumberFormat="1" applyFill="1" applyBorder="1"/>
    <xf numFmtId="2" fontId="0" fillId="13" borderId="18" xfId="0" applyNumberFormat="1" applyFill="1" applyBorder="1"/>
    <xf numFmtId="2" fontId="0" fillId="13" borderId="19" xfId="0" applyNumberFormat="1" applyFill="1" applyBorder="1"/>
    <xf numFmtId="2" fontId="0" fillId="13" borderId="0" xfId="0" applyNumberFormat="1" applyFill="1"/>
    <xf numFmtId="2" fontId="0" fillId="13" borderId="20" xfId="0" applyNumberFormat="1" applyFill="1" applyBorder="1"/>
    <xf numFmtId="2" fontId="0" fillId="13" borderId="21" xfId="0" applyNumberFormat="1" applyFill="1" applyBorder="1"/>
    <xf numFmtId="2" fontId="0" fillId="13" borderId="22" xfId="0" applyNumberFormat="1" applyFill="1" applyBorder="1"/>
    <xf numFmtId="2" fontId="0" fillId="13" borderId="23" xfId="0" applyNumberFormat="1" applyFill="1" applyBorder="1"/>
    <xf numFmtId="0" fontId="0" fillId="0" borderId="17" xfId="0" applyBorder="1"/>
    <xf numFmtId="0" fontId="11" fillId="0" borderId="0" xfId="0" applyFont="1" applyAlignment="1">
      <alignment horizontal="right"/>
    </xf>
    <xf numFmtId="2" fontId="0" fillId="0" borderId="24" xfId="0" applyNumberFormat="1" applyBorder="1"/>
    <xf numFmtId="2" fontId="0" fillId="0" borderId="25" xfId="0" applyNumberFormat="1" applyBorder="1"/>
    <xf numFmtId="2" fontId="11" fillId="0" borderId="0" xfId="0" applyNumberFormat="1" applyFont="1"/>
    <xf numFmtId="2" fontId="11" fillId="0" borderId="17" xfId="0" applyNumberFormat="1" applyFont="1" applyBorder="1"/>
    <xf numFmtId="2" fontId="11" fillId="0" borderId="12" xfId="0" applyNumberFormat="1" applyFont="1" applyBorder="1"/>
    <xf numFmtId="2" fontId="11" fillId="0" borderId="26" xfId="0" applyNumberFormat="1" applyFont="1" applyBorder="1"/>
    <xf numFmtId="0" fontId="1" fillId="0" borderId="26" xfId="0" applyFont="1" applyBorder="1"/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133092</xdr:colOff>
      <xdr:row>1</xdr:row>
      <xdr:rowOff>26670</xdr:rowOff>
    </xdr:from>
    <xdr:ext cx="31701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7A7BB87-4539-48FB-9531-97A51A38E4EA}"/>
                </a:ext>
              </a:extLst>
            </xdr:cNvPr>
            <xdr:cNvSpPr txBox="1"/>
          </xdr:nvSpPr>
          <xdr:spPr>
            <a:xfrm>
              <a:off x="1961892" y="217170"/>
              <a:ext cx="31701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7A7BB87-4539-48FB-9531-97A51A38E4EA}"/>
                </a:ext>
              </a:extLst>
            </xdr:cNvPr>
            <xdr:cNvSpPr txBox="1"/>
          </xdr:nvSpPr>
          <xdr:spPr>
            <a:xfrm>
              <a:off x="1961892" y="217170"/>
              <a:ext cx="31701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129018</xdr:colOff>
      <xdr:row>2</xdr:row>
      <xdr:rowOff>0</xdr:rowOff>
    </xdr:from>
    <xdr:ext cx="3202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E7B763-AE57-42B2-BC62-FEB7BC8677ED}"/>
                </a:ext>
              </a:extLst>
            </xdr:cNvPr>
            <xdr:cNvSpPr txBox="1"/>
          </xdr:nvSpPr>
          <xdr:spPr>
            <a:xfrm>
              <a:off x="1957818" y="3810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7E7B763-AE57-42B2-BC62-FEB7BC8677ED}"/>
                </a:ext>
              </a:extLst>
            </xdr:cNvPr>
            <xdr:cNvSpPr txBox="1"/>
          </xdr:nvSpPr>
          <xdr:spPr>
            <a:xfrm>
              <a:off x="1957818" y="3810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134219</xdr:colOff>
      <xdr:row>2</xdr:row>
      <xdr:rowOff>204168</xdr:rowOff>
    </xdr:from>
    <xdr:ext cx="326820" cy="1822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BBDFD49-DD03-489B-BFD4-F47481703963}"/>
                </a:ext>
              </a:extLst>
            </xdr:cNvPr>
            <xdr:cNvSpPr txBox="1"/>
          </xdr:nvSpPr>
          <xdr:spPr>
            <a:xfrm>
              <a:off x="1963019" y="575643"/>
              <a:ext cx="326820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BBDFD49-DD03-489B-BFD4-F47481703963}"/>
                </a:ext>
              </a:extLst>
            </xdr:cNvPr>
            <xdr:cNvSpPr txBox="1"/>
          </xdr:nvSpPr>
          <xdr:spPr>
            <a:xfrm>
              <a:off x="1963019" y="575643"/>
              <a:ext cx="326820" cy="1822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</a:rPr>
                <a:t>𝑝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129540</xdr:colOff>
      <xdr:row>4</xdr:row>
      <xdr:rowOff>0</xdr:rowOff>
    </xdr:from>
    <xdr:ext cx="355867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F39B312-7F0C-4048-AEDD-266FA8664E18}"/>
                </a:ext>
              </a:extLst>
            </xdr:cNvPr>
            <xdr:cNvSpPr txBox="1"/>
          </xdr:nvSpPr>
          <xdr:spPr>
            <a:xfrm>
              <a:off x="1958340" y="762000"/>
              <a:ext cx="3558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∞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F39B312-7F0C-4048-AEDD-266FA8664E18}"/>
                </a:ext>
              </a:extLst>
            </xdr:cNvPr>
            <xdr:cNvSpPr txBox="1"/>
          </xdr:nvSpPr>
          <xdr:spPr>
            <a:xfrm>
              <a:off x="1958340" y="762000"/>
              <a:ext cx="355867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∞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137160</xdr:colOff>
      <xdr:row>5</xdr:row>
      <xdr:rowOff>0</xdr:rowOff>
    </xdr:from>
    <xdr:ext cx="3202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4831CA7-F9FD-4319-BFD8-F6D36AD219B2}"/>
                </a:ext>
              </a:extLst>
            </xdr:cNvPr>
            <xdr:cNvSpPr txBox="1"/>
          </xdr:nvSpPr>
          <xdr:spPr>
            <a:xfrm>
              <a:off x="1965960" y="9525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4831CA7-F9FD-4319-BFD8-F6D36AD219B2}"/>
                </a:ext>
              </a:extLst>
            </xdr:cNvPr>
            <xdr:cNvSpPr txBox="1"/>
          </xdr:nvSpPr>
          <xdr:spPr>
            <a:xfrm>
              <a:off x="1965960" y="952500"/>
              <a:ext cx="3202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0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137160</xdr:colOff>
      <xdr:row>6</xdr:row>
      <xdr:rowOff>0</xdr:rowOff>
    </xdr:from>
    <xdr:ext cx="363689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09DAA27-66FA-447D-8A7D-E5898DC6F990}"/>
                </a:ext>
              </a:extLst>
            </xdr:cNvPr>
            <xdr:cNvSpPr txBox="1"/>
          </xdr:nvSpPr>
          <xdr:spPr>
            <a:xfrm>
              <a:off x="1965960" y="1143000"/>
              <a:ext cx="36368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09DAA27-66FA-447D-8A7D-E5898DC6F990}"/>
                </a:ext>
              </a:extLst>
            </xdr:cNvPr>
            <xdr:cNvSpPr txBox="1"/>
          </xdr:nvSpPr>
          <xdr:spPr>
            <a:xfrm>
              <a:off x="1965960" y="1143000"/>
              <a:ext cx="363689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𝑊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129540</xdr:colOff>
      <xdr:row>7</xdr:row>
      <xdr:rowOff>0</xdr:rowOff>
    </xdr:from>
    <xdr:ext cx="328680" cy="1737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FF1347A-C937-4009-BDDC-AFE3A224DAB1}"/>
                </a:ext>
              </a:extLst>
            </xdr:cNvPr>
            <xdr:cNvSpPr txBox="1"/>
          </xdr:nvSpPr>
          <xdr:spPr>
            <a:xfrm>
              <a:off x="1958340" y="1333500"/>
              <a:ext cx="328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𝐹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FF1347A-C937-4009-BDDC-AFE3A224DAB1}"/>
                </a:ext>
              </a:extLst>
            </xdr:cNvPr>
            <xdr:cNvSpPr txBox="1"/>
          </xdr:nvSpPr>
          <xdr:spPr>
            <a:xfrm>
              <a:off x="1958340" y="1333500"/>
              <a:ext cx="328680" cy="1737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𝐹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14</xdr:col>
      <xdr:colOff>121920</xdr:colOff>
      <xdr:row>6</xdr:row>
      <xdr:rowOff>0</xdr:rowOff>
    </xdr:from>
    <xdr:ext cx="1020536" cy="21954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5D24E65-5103-4BED-8234-237B5A953E72}"/>
                </a:ext>
              </a:extLst>
            </xdr:cNvPr>
            <xdr:cNvSpPr txBox="1"/>
          </xdr:nvSpPr>
          <xdr:spPr>
            <a:xfrm>
              <a:off x="8656320" y="1143000"/>
              <a:ext cx="1020536" cy="219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</m:d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𝑊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sup>
                        </m:s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𝑊𝑥</m:t>
                        </m:r>
                      </m:e>
                    </m:ra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5D24E65-5103-4BED-8234-237B5A953E72}"/>
                </a:ext>
              </a:extLst>
            </xdr:cNvPr>
            <xdr:cNvSpPr txBox="1"/>
          </xdr:nvSpPr>
          <xdr:spPr>
            <a:xfrm>
              <a:off x="8656320" y="1143000"/>
              <a:ext cx="1020536" cy="219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‖𝑥‖_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𝑊</a:t>
              </a:r>
              <a:r>
                <a:rPr lang="en-GB" sz="1100" b="0" i="0">
                  <a:latin typeface="Cambria Math" panose="02040503050406030204" pitchFamily="18" charset="0"/>
                </a:rPr>
                <a:t>=√(𝑥^𝑇 𝑊𝑥)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153987</xdr:rowOff>
    </xdr:from>
    <xdr:ext cx="724686" cy="17697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B794FBF-595C-44DE-824E-918991F9B53E}"/>
                </a:ext>
              </a:extLst>
            </xdr:cNvPr>
            <xdr:cNvSpPr txBox="1"/>
          </xdr:nvSpPr>
          <xdr:spPr>
            <a:xfrm>
              <a:off x="0" y="773112"/>
              <a:ext cx="724686" cy="1769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solidFill>
                          <a:schemeClr val="tx1"/>
                        </a:solidFill>
                        <a:effectLst/>
                        <a:latin typeface="+mn-lt"/>
                        <a:ea typeface="+mn-ea"/>
                        <a:cs typeface="+mn-cs"/>
                      </a:rPr>
                      <m:t>𝑋</m:t>
                    </m:r>
                    <m:r>
                      <a:rPr lang="en-GB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acc>
                      <m:accPr>
                        <m:chr m:val="̅"/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𝑋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B794FBF-595C-44DE-824E-918991F9B53E}"/>
                </a:ext>
              </a:extLst>
            </xdr:cNvPr>
            <xdr:cNvSpPr txBox="1"/>
          </xdr:nvSpPr>
          <xdr:spPr>
            <a:xfrm>
              <a:off x="0" y="773112"/>
              <a:ext cx="724686" cy="1769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 ̅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402438</xdr:colOff>
      <xdr:row>3</xdr:row>
      <xdr:rowOff>9525</xdr:rowOff>
    </xdr:from>
    <xdr:ext cx="1397049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1E32E6-F28A-4A94-89CD-0F90A99E7564}"/>
                </a:ext>
              </a:extLst>
            </xdr:cNvPr>
            <xdr:cNvSpPr txBox="1"/>
          </xdr:nvSpPr>
          <xdr:spPr>
            <a:xfrm>
              <a:off x="8327238" y="581025"/>
              <a:ext cx="1397049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𝑆𝐶𝐿𝑄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(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𝑁</m:t>
                            </m:r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−1)</m:t>
                            </m:r>
                          </m:den>
                        </m:f>
                      </m:e>
                    </m:rad>
                    <m:sSub>
                      <m:sSub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1E32E6-F28A-4A94-89CD-0F90A99E7564}"/>
                </a:ext>
              </a:extLst>
            </xdr:cNvPr>
            <xdr:cNvSpPr txBox="1"/>
          </xdr:nvSpPr>
          <xdr:spPr>
            <a:xfrm>
              <a:off x="8327238" y="581025"/>
              <a:ext cx="1397049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𝑋_(𝐶,𝑆𝐶𝐿𝑄)=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√(1/((𝑁−1))) 𝑋_𝐶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583410</xdr:colOff>
      <xdr:row>3</xdr:row>
      <xdr:rowOff>69056</xdr:rowOff>
    </xdr:from>
    <xdr:ext cx="1217321" cy="3480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1425B87-AFE2-4C2C-8C88-04EF3FB9A40D}"/>
                </a:ext>
              </a:extLst>
            </xdr:cNvPr>
            <xdr:cNvSpPr txBox="1"/>
          </xdr:nvSpPr>
          <xdr:spPr>
            <a:xfrm>
              <a:off x="4241010" y="640556"/>
              <a:ext cx="1217321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𝑆𝐶𝐿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𝑁</m:t>
                        </m:r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−1)</m:t>
                        </m:r>
                      </m:den>
                    </m:f>
                    <m:sSub>
                      <m:sSub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1425B87-AFE2-4C2C-8C88-04EF3FB9A40D}"/>
                </a:ext>
              </a:extLst>
            </xdr:cNvPr>
            <xdr:cNvSpPr txBox="1"/>
          </xdr:nvSpPr>
          <xdr:spPr>
            <a:xfrm>
              <a:off x="4241010" y="640556"/>
              <a:ext cx="1217321" cy="3480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𝑋_(𝐶,𝑆𝐶𝐿)=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1/((𝑁−1)) 𝑋_𝐶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28</xdr:col>
      <xdr:colOff>559592</xdr:colOff>
      <xdr:row>42</xdr:row>
      <xdr:rowOff>130974</xdr:rowOff>
    </xdr:from>
    <xdr:to>
      <xdr:col>33</xdr:col>
      <xdr:colOff>607218</xdr:colOff>
      <xdr:row>45</xdr:row>
      <xdr:rowOff>70121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5D155DD-0421-46A3-BB5A-A3E978B598AF}"/>
            </a:ext>
          </a:extLst>
        </xdr:cNvPr>
        <xdr:cNvSpPr/>
      </xdr:nvSpPr>
      <xdr:spPr>
        <a:xfrm>
          <a:off x="17628392" y="8131974"/>
          <a:ext cx="3095626" cy="510647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23</xdr:col>
      <xdr:colOff>116417</xdr:colOff>
      <xdr:row>10</xdr:row>
      <xdr:rowOff>21166</xdr:rowOff>
    </xdr:from>
    <xdr:ext cx="353815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D1C47D7-F298-4140-972A-72991C9FE0EF}"/>
                </a:ext>
              </a:extLst>
            </xdr:cNvPr>
            <xdr:cNvSpPr txBox="1"/>
          </xdr:nvSpPr>
          <xdr:spPr>
            <a:xfrm>
              <a:off x="14137217" y="1926166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bSup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D1C47D7-F298-4140-972A-72991C9FE0EF}"/>
                </a:ext>
              </a:extLst>
            </xdr:cNvPr>
            <xdr:cNvSpPr txBox="1"/>
          </xdr:nvSpPr>
          <xdr:spPr>
            <a:xfrm>
              <a:off x="14137217" y="1926166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𝑋_𝐶^𝑇 𝑋_𝐶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29</xdr:col>
      <xdr:colOff>0</xdr:colOff>
      <xdr:row>10</xdr:row>
      <xdr:rowOff>31749</xdr:rowOff>
    </xdr:from>
    <xdr:ext cx="353815" cy="18043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0C094E4-2AAB-4B7C-885D-DCB8C0C140B9}"/>
                </a:ext>
              </a:extLst>
            </xdr:cNvPr>
            <xdr:cNvSpPr txBox="1"/>
          </xdr:nvSpPr>
          <xdr:spPr>
            <a:xfrm>
              <a:off x="17678400" y="1936749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sup>
                    </m:sSubSup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0C094E4-2AAB-4B7C-885D-DCB8C0C140B9}"/>
                </a:ext>
              </a:extLst>
            </xdr:cNvPr>
            <xdr:cNvSpPr txBox="1"/>
          </xdr:nvSpPr>
          <xdr:spPr>
            <a:xfrm>
              <a:off x="17678400" y="1936749"/>
              <a:ext cx="353815" cy="18043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𝑋_𝐶^𝑇 𝑋_𝐶</a:t>
              </a:r>
              <a:endParaRPr lang="en-GB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rank\AppData\Roaming\Microsoft\AddIns\XRealStats.xlam" TargetMode="External"/><Relationship Id="rId1" Type="http://schemas.openxmlformats.org/officeDocument/2006/relationships/externalLinkPath" Target="file:///C:\Users\brank\AppData\Roaming\Microsoft\AddIn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eigVECTSym"/>
      <definedName name="SPECTRAL"/>
      <definedName name="SVD_D"/>
      <definedName name="SVD_U"/>
      <definedName name="SVD_V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9DE77-97AF-4768-BC1B-8CFE5C11B22C}">
  <dimension ref="A1:J8"/>
  <sheetViews>
    <sheetView zoomScaleNormal="100" workbookViewId="0">
      <selection activeCell="I8" sqref="I8"/>
    </sheetView>
  </sheetViews>
  <sheetFormatPr defaultRowHeight="15" x14ac:dyDescent="0.25"/>
  <sheetData>
    <row r="1" spans="1:10" x14ac:dyDescent="0.25">
      <c r="A1" s="6" t="s">
        <v>20</v>
      </c>
      <c r="C1" t="s">
        <v>19</v>
      </c>
      <c r="D1" t="s">
        <v>18</v>
      </c>
      <c r="E1" t="s">
        <v>17</v>
      </c>
      <c r="J1" t="s">
        <v>16</v>
      </c>
    </row>
    <row r="2" spans="1:10" ht="18" x14ac:dyDescent="0.35">
      <c r="A2" s="5">
        <v>2</v>
      </c>
      <c r="C2" t="s">
        <v>15</v>
      </c>
      <c r="E2" cm="1">
        <f t="array" ref="E2">SUM(ABS(A2:A4))</f>
        <v>6</v>
      </c>
      <c r="F2" t="str">
        <f ca="1">_xlfn.FORMULATEXT(E2)</f>
        <v>=SUM(ABS(A2:A4))</v>
      </c>
      <c r="J2" t="s">
        <v>14</v>
      </c>
    </row>
    <row r="3" spans="1:10" ht="18" x14ac:dyDescent="0.35">
      <c r="A3" s="4">
        <v>1</v>
      </c>
      <c r="C3" t="s">
        <v>13</v>
      </c>
      <c r="E3" s="2">
        <f>SQRT(SUMSQ(A2:A4))</f>
        <v>3.7416573867739413</v>
      </c>
      <c r="F3" t="str">
        <f ca="1">_xlfn.FORMULATEXT(E3)</f>
        <v>=SQRT(SUMSQ(A2:A4))</v>
      </c>
      <c r="J3" t="s">
        <v>12</v>
      </c>
    </row>
    <row r="4" spans="1:10" ht="18" x14ac:dyDescent="0.35">
      <c r="A4" s="3">
        <v>3</v>
      </c>
      <c r="C4" t="s">
        <v>11</v>
      </c>
      <c r="E4" s="2">
        <f>(A2^3+A3^3+A4^3)^1/3</f>
        <v>12</v>
      </c>
      <c r="F4" t="str">
        <f ca="1">_xlfn.FORMULATEXT(E4)</f>
        <v>=(A2^3+A3^3+A4^3)^1/3</v>
      </c>
      <c r="I4" t="s">
        <v>10</v>
      </c>
      <c r="J4" t="s">
        <v>9</v>
      </c>
    </row>
    <row r="5" spans="1:10" ht="18" x14ac:dyDescent="0.35">
      <c r="C5" t="s">
        <v>8</v>
      </c>
      <c r="E5">
        <f>MAX(A2:A4)</f>
        <v>3</v>
      </c>
      <c r="F5" t="str">
        <f ca="1">_xlfn.FORMULATEXT(E5)</f>
        <v>=MAX(A2:A4)</v>
      </c>
      <c r="J5" t="s">
        <v>7</v>
      </c>
    </row>
    <row r="6" spans="1:10" ht="18" x14ac:dyDescent="0.35">
      <c r="C6" t="s">
        <v>6</v>
      </c>
      <c r="E6">
        <f>COUNTIF(A2:A4,"&lt;&gt;0")</f>
        <v>3</v>
      </c>
      <c r="F6" t="str">
        <f ca="1">_xlfn.FORMULATEXT(E6)</f>
        <v>=COUNTIF(A2:A4,"&lt;&gt;0")</v>
      </c>
      <c r="J6" t="s">
        <v>5</v>
      </c>
    </row>
    <row r="7" spans="1:10" ht="18" x14ac:dyDescent="0.35">
      <c r="C7" t="s">
        <v>4</v>
      </c>
      <c r="E7" s="1" t="s">
        <v>1</v>
      </c>
      <c r="J7" t="s">
        <v>3</v>
      </c>
    </row>
    <row r="8" spans="1:10" ht="18" x14ac:dyDescent="0.35">
      <c r="C8" t="s">
        <v>2</v>
      </c>
      <c r="E8" s="1" t="s">
        <v>1</v>
      </c>
      <c r="J8" t="s">
        <v>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8C25-6E4B-4A89-A8CB-C226EC66E366}">
  <dimension ref="A1:AC20"/>
  <sheetViews>
    <sheetView zoomScaleNormal="100" workbookViewId="0">
      <selection activeCell="I8" sqref="I8"/>
    </sheetView>
  </sheetViews>
  <sheetFormatPr defaultRowHeight="15" x14ac:dyDescent="0.25"/>
  <cols>
    <col min="1" max="1" width="11.7109375" customWidth="1"/>
    <col min="7" max="7" width="11.85546875" customWidth="1"/>
    <col min="14" max="14" width="14.140625" customWidth="1"/>
    <col min="21" max="21" width="3.7109375" customWidth="1"/>
    <col min="26" max="26" width="4.7109375" customWidth="1"/>
  </cols>
  <sheetData>
    <row r="1" spans="1:29" x14ac:dyDescent="0.25">
      <c r="B1" s="44" t="s">
        <v>40</v>
      </c>
      <c r="E1" t="s">
        <v>39</v>
      </c>
      <c r="H1" t="s">
        <v>38</v>
      </c>
      <c r="O1" t="s">
        <v>37</v>
      </c>
      <c r="V1" s="43" t="s">
        <v>36</v>
      </c>
      <c r="W1">
        <f>COUNT(B2:D4)</f>
        <v>9</v>
      </c>
      <c r="X1" t="str">
        <f ca="1">_xlfn.FORMULATEXT(W1)</f>
        <v>=COUNT(B2:D4)</v>
      </c>
      <c r="AA1" s="43" t="s">
        <v>36</v>
      </c>
      <c r="AB1">
        <f>COUNT(B2:D4)</f>
        <v>9</v>
      </c>
      <c r="AC1" t="str">
        <f ca="1">_xlfn.FORMULATEXT(AB1)</f>
        <v>=COUNT(B2:D4)</v>
      </c>
    </row>
    <row r="2" spans="1:29" x14ac:dyDescent="0.25">
      <c r="B2" s="42">
        <v>2</v>
      </c>
      <c r="C2" s="41">
        <v>3</v>
      </c>
      <c r="D2" s="40">
        <v>4</v>
      </c>
      <c r="E2" s="2">
        <f>SQRT(SUMSQ(B2:D2))</f>
        <v>5.3851648071345037</v>
      </c>
      <c r="F2" t="str">
        <f ca="1">_xlfn.FORMULATEXT(E2)</f>
        <v>=SQRT(SUMSQ(B2:D2))</v>
      </c>
      <c r="H2" s="26" cm="1">
        <f t="array" ref="H2:H4">(B2:B4-AVERAGE(B$2:B$4))/_xlfn.STDEV.S(B$2:B$4)</f>
        <v>0</v>
      </c>
      <c r="I2" s="14" cm="1">
        <f t="array" ref="I2:I4">(C2:C4-AVERAGE(C$2:C$4))/_xlfn.STDEV.S(C$2:C$4)</f>
        <v>0.13245323570650441</v>
      </c>
      <c r="J2" s="25" cm="1">
        <f t="array" ref="J2:J4">(D2:D4-AVERAGE(D$2:D$4))/_xlfn.STDEV.S(D$2:D$4)</f>
        <v>0</v>
      </c>
      <c r="K2" t="str">
        <f ca="1">_xlfn.FORMULATEXT(H2)</f>
        <v>=(B2:B4-AVERAGE(B$2:B$4))/STDEV.S(B$2:B$4)</v>
      </c>
      <c r="O2" s="26">
        <f t="shared" ref="O2:Q4" si="0">(B2-MIN(B$2:B$4))/(MAX(B$2:B$4)-MIN(B$2:B$4))</f>
        <v>0.5</v>
      </c>
      <c r="P2" s="39">
        <f t="shared" si="0"/>
        <v>0.6</v>
      </c>
      <c r="Q2" s="25">
        <f t="shared" si="0"/>
        <v>0.5</v>
      </c>
      <c r="V2" s="35" t="s">
        <v>35</v>
      </c>
      <c r="W2" s="34">
        <f>1/W1</f>
        <v>0.1111111111111111</v>
      </c>
      <c r="X2" t="str">
        <f ca="1">_xlfn.FORMULATEXT(W2)</f>
        <v>=1/W1</v>
      </c>
      <c r="AA2" s="35" t="s">
        <v>34</v>
      </c>
      <c r="AB2" s="34">
        <f>1/SQRT(AB1)</f>
        <v>0.33333333333333331</v>
      </c>
      <c r="AC2" t="str">
        <f ca="1">_xlfn.FORMULATEXT(AB2)</f>
        <v>=1/SQRT(AB1)</v>
      </c>
    </row>
    <row r="3" spans="1:29" x14ac:dyDescent="0.25">
      <c r="B3" s="38">
        <v>1</v>
      </c>
      <c r="C3" s="37">
        <v>0</v>
      </c>
      <c r="D3" s="36">
        <v>2</v>
      </c>
      <c r="E3" s="2">
        <f>SQRT(SUMSQ(B3:D3))</f>
        <v>2.2360679774997898</v>
      </c>
      <c r="H3" s="22">
        <v>-1</v>
      </c>
      <c r="I3" s="2">
        <v>-1.0596258856520349</v>
      </c>
      <c r="J3" s="21">
        <v>-1</v>
      </c>
      <c r="O3" s="22">
        <f t="shared" si="0"/>
        <v>0</v>
      </c>
      <c r="P3">
        <f t="shared" si="0"/>
        <v>0</v>
      </c>
      <c r="Q3" s="21">
        <f t="shared" si="0"/>
        <v>0</v>
      </c>
      <c r="V3" s="35" t="s">
        <v>33</v>
      </c>
      <c r="W3" s="34">
        <f>1/(W1-1)</f>
        <v>0.125</v>
      </c>
      <c r="X3" t="str">
        <f ca="1">_xlfn.FORMULATEXT(W3)</f>
        <v>=1/(W1-1)</v>
      </c>
      <c r="AA3" s="35" t="s">
        <v>32</v>
      </c>
      <c r="AB3" s="34">
        <f>1/SQRT(AB1-1)</f>
        <v>0.35355339059327373</v>
      </c>
      <c r="AC3" t="str">
        <f ca="1">_xlfn.FORMULATEXT(AB3)</f>
        <v>=1/SQRT(AB1-1)</v>
      </c>
    </row>
    <row r="4" spans="1:29" x14ac:dyDescent="0.25">
      <c r="B4" s="33">
        <v>3</v>
      </c>
      <c r="C4" s="32">
        <v>5</v>
      </c>
      <c r="D4" s="31">
        <v>6</v>
      </c>
      <c r="E4" s="2">
        <f>SQRT(SUMSQ(B4:D4))</f>
        <v>8.3666002653407556</v>
      </c>
      <c r="H4" s="17">
        <v>1</v>
      </c>
      <c r="I4" s="9">
        <v>0.92717264994553061</v>
      </c>
      <c r="J4" s="16">
        <v>1</v>
      </c>
      <c r="O4" s="17">
        <f t="shared" si="0"/>
        <v>1</v>
      </c>
      <c r="P4" s="30">
        <f t="shared" si="0"/>
        <v>1</v>
      </c>
      <c r="Q4" s="16">
        <f t="shared" si="0"/>
        <v>1</v>
      </c>
    </row>
    <row r="5" spans="1:29" x14ac:dyDescent="0.25">
      <c r="A5" t="s">
        <v>31</v>
      </c>
      <c r="B5" s="2">
        <f>SQRT(SUMSQ(B2:B4))</f>
        <v>3.7416573867739413</v>
      </c>
      <c r="C5" s="2">
        <f>SQRT(SUMSQ(C2:C4))</f>
        <v>5.8309518948453007</v>
      </c>
      <c r="D5" s="2">
        <f>SQRT(SUMSQ(D2:D4))</f>
        <v>7.4833147735478827</v>
      </c>
      <c r="H5">
        <f>AVERAGE(H2:H4)</f>
        <v>0</v>
      </c>
      <c r="I5">
        <f>AVERAGE(I2:I4)</f>
        <v>0</v>
      </c>
      <c r="J5">
        <f>AVERAGE(J2:J4)</f>
        <v>0</v>
      </c>
      <c r="K5" t="str">
        <f ca="1">_xlfn.FORMULATEXT(H5)</f>
        <v>=AVERAGE(H2:H4)</v>
      </c>
      <c r="O5" t="str">
        <f ca="1">_xlfn.FORMULATEXT(O2)</f>
        <v>=(B2-MIN(B$2:B$4))/(MAX(B$2:B$4)-MIN(B$2:B$4))</v>
      </c>
      <c r="V5" t="s">
        <v>30</v>
      </c>
      <c r="AA5" t="s">
        <v>29</v>
      </c>
    </row>
    <row r="6" spans="1:29" x14ac:dyDescent="0.25">
      <c r="B6" t="str">
        <f ca="1">_xlfn.FORMULATEXT(B5)</f>
        <v>=SQRT(SUMSQ(B2:B4))</v>
      </c>
      <c r="H6">
        <f>_xlfn.STDEV.S(H2:H4)</f>
        <v>1</v>
      </c>
      <c r="I6">
        <f>_xlfn.STDEV.S(I2:I4)</f>
        <v>0.99999999999999989</v>
      </c>
      <c r="J6">
        <f>_xlfn.STDEV.S(J2:J4)</f>
        <v>1</v>
      </c>
      <c r="K6" t="str">
        <f ca="1">_xlfn.FORMULATEXT(H6)</f>
        <v>=STDEV.S(H2:H4)</v>
      </c>
      <c r="V6" s="15" cm="1">
        <f t="array" ref="V6:V8">B9:B11*$W$2</f>
        <v>0</v>
      </c>
      <c r="W6" s="14" cm="1">
        <f t="array" ref="W6:W8">_xlfn.ANCHORARRAY(C9)*$W$2</f>
        <v>3.7037037037037049E-2</v>
      </c>
      <c r="X6" s="13" cm="1">
        <f t="array" ref="X6:X8">_xlfn.ANCHORARRAY(D9)*$W$2</f>
        <v>0</v>
      </c>
      <c r="Y6" s="2"/>
      <c r="AA6" s="15" cm="1">
        <f t="array" ref="AA6:AA8">B9:B11*$AB$2</f>
        <v>0</v>
      </c>
      <c r="AB6" s="14" cm="1">
        <f t="array" ref="AB6:AB8">C9:C11*$AB$2</f>
        <v>0.11111111111111116</v>
      </c>
      <c r="AC6" s="13" cm="1">
        <f t="array" ref="AC6:AC8">D9:D11*$AB$2</f>
        <v>0</v>
      </c>
    </row>
    <row r="7" spans="1:29" x14ac:dyDescent="0.25">
      <c r="O7" t="s">
        <v>28</v>
      </c>
      <c r="V7" s="12">
        <v>-0.1111111111111111</v>
      </c>
      <c r="W7" s="2">
        <v>-0.29629629629629628</v>
      </c>
      <c r="X7" s="11">
        <v>-0.22222222222222221</v>
      </c>
      <c r="Y7" s="2"/>
      <c r="AA7" s="12">
        <v>-0.33333333333333331</v>
      </c>
      <c r="AB7" s="2">
        <v>-0.88888888888888884</v>
      </c>
      <c r="AC7" s="11">
        <v>-0.66666666666666663</v>
      </c>
    </row>
    <row r="8" spans="1:29" x14ac:dyDescent="0.25">
      <c r="B8" t="s">
        <v>27</v>
      </c>
      <c r="H8" t="s">
        <v>26</v>
      </c>
      <c r="O8" s="29">
        <f t="shared" ref="O8:Q10" si="1">(B2-MIN($B2:$D2))/(MAX($B2:$D2)-MIN($B2:$D2))</f>
        <v>0</v>
      </c>
      <c r="P8" s="28">
        <f t="shared" si="1"/>
        <v>0.5</v>
      </c>
      <c r="Q8" s="27">
        <f t="shared" si="1"/>
        <v>1</v>
      </c>
      <c r="V8" s="10">
        <v>0.1111111111111111</v>
      </c>
      <c r="W8" s="9">
        <v>0.25925925925925924</v>
      </c>
      <c r="X8" s="8">
        <v>0.22222222222222221</v>
      </c>
      <c r="Y8" s="2"/>
      <c r="AA8" s="10">
        <v>0.33333333333333331</v>
      </c>
      <c r="AB8" s="9">
        <v>0.77777777777777779</v>
      </c>
      <c r="AC8" s="8">
        <v>0.66666666666666663</v>
      </c>
    </row>
    <row r="9" spans="1:29" x14ac:dyDescent="0.25">
      <c r="B9" s="26" cm="1">
        <f t="array" ref="B9:B11">B2:B4-AVERAGE(B$2:B$4)</f>
        <v>0</v>
      </c>
      <c r="C9" s="14" cm="1">
        <f t="array" ref="C9:C11">C2:C4-AVERAGE(C$2:C$4)</f>
        <v>0.33333333333333348</v>
      </c>
      <c r="D9" s="25" cm="1">
        <f t="array" ref="D9:D11">D2:D4-AVERAGE(D$2:D$4)</f>
        <v>0</v>
      </c>
      <c r="E9" t="str">
        <f ca="1">_xlfn.FORMULATEXT(B9)</f>
        <v>=B2:B4-AVERAGE(B$2:B$4)</v>
      </c>
      <c r="H9" s="15" cm="1">
        <f t="array" ref="H9:H11">B2:B4/B$5</f>
        <v>0.53452248382484879</v>
      </c>
      <c r="I9" s="14" cm="1">
        <f t="array" ref="I9:I11">C2:C4/C$5</f>
        <v>0.51449575542752646</v>
      </c>
      <c r="J9" s="13" cm="1">
        <f t="array" ref="J9:J11">D2:D4/D$5</f>
        <v>0.53452248382484879</v>
      </c>
      <c r="O9" s="24">
        <f t="shared" si="1"/>
        <v>0.5</v>
      </c>
      <c r="P9" s="1">
        <f t="shared" si="1"/>
        <v>0</v>
      </c>
      <c r="Q9" s="23">
        <f t="shared" si="1"/>
        <v>1</v>
      </c>
      <c r="V9" t="str">
        <f ca="1">_xlfn.FORMULATEXT(V6)</f>
        <v>=B9:B11*$W$2</v>
      </c>
      <c r="AA9" t="str">
        <f ca="1">_xlfn.FORMULATEXT(AA6)</f>
        <v>=B9:B11*$AB$2</v>
      </c>
    </row>
    <row r="10" spans="1:29" x14ac:dyDescent="0.25">
      <c r="B10" s="22">
        <v>-1</v>
      </c>
      <c r="C10" s="2">
        <v>-2.6666666666666665</v>
      </c>
      <c r="D10" s="21">
        <v>-2</v>
      </c>
      <c r="H10" s="12">
        <v>0.2672612419124244</v>
      </c>
      <c r="I10" s="2">
        <v>0</v>
      </c>
      <c r="J10" s="11">
        <v>0.2672612419124244</v>
      </c>
      <c r="O10" s="20">
        <f t="shared" si="1"/>
        <v>0</v>
      </c>
      <c r="P10" s="19">
        <f t="shared" si="1"/>
        <v>0.66666666666666663</v>
      </c>
      <c r="Q10" s="18">
        <f t="shared" si="1"/>
        <v>1</v>
      </c>
    </row>
    <row r="11" spans="1:29" x14ac:dyDescent="0.25">
      <c r="B11" s="17">
        <v>1</v>
      </c>
      <c r="C11" s="9">
        <v>2.3333333333333335</v>
      </c>
      <c r="D11" s="16">
        <v>2</v>
      </c>
      <c r="H11" s="10">
        <v>0.80178372573727319</v>
      </c>
      <c r="I11" s="9">
        <v>0.8574929257125441</v>
      </c>
      <c r="J11" s="8">
        <v>0.80178372573727319</v>
      </c>
      <c r="O11" t="str">
        <f ca="1">_xlfn.FORMULATEXT(O8)</f>
        <v>=(B2-MIN($B2:$D2))/(MAX($B2:$D2)-MIN($B2:$D2))</v>
      </c>
      <c r="V11" t="s">
        <v>25</v>
      </c>
      <c r="AA11" t="s">
        <v>24</v>
      </c>
    </row>
    <row r="12" spans="1:29" x14ac:dyDescent="0.25">
      <c r="B12">
        <f>AVERAGE(B9:B11)</f>
        <v>0</v>
      </c>
      <c r="C12">
        <f>AVERAGE(C9:C11)</f>
        <v>0</v>
      </c>
      <c r="D12">
        <f>AVERAGE(D9:D11)</f>
        <v>0</v>
      </c>
      <c r="H12" t="str">
        <f ca="1">_xlfn.FORMULATEXT(H9)</f>
        <v>=B2:B4/B$5</v>
      </c>
      <c r="V12" s="15" cm="1">
        <f t="array" ref="V12:V14">B9:B11*$W$3</f>
        <v>0</v>
      </c>
      <c r="W12" s="14" cm="1">
        <f t="array" ref="W12:W14">C9:C11*$W$3</f>
        <v>4.1666666666666685E-2</v>
      </c>
      <c r="X12" s="13" cm="1">
        <f t="array" ref="X12:X14">D9:D11*$W$3</f>
        <v>0</v>
      </c>
      <c r="Y12" s="2"/>
      <c r="AA12" s="15" cm="1">
        <f t="array" ref="AA12:AA14">B9:B11*$AB$3</f>
        <v>0</v>
      </c>
      <c r="AB12" s="14" cm="1">
        <f t="array" ref="AB12:AB14">C9:C11*$AB$3</f>
        <v>0.11785113019775796</v>
      </c>
      <c r="AC12" s="13" cm="1">
        <f t="array" ref="AC12:AC14">D9:D11*$AB$3</f>
        <v>0</v>
      </c>
    </row>
    <row r="13" spans="1:29" x14ac:dyDescent="0.25">
      <c r="B13" t="str">
        <f ca="1">_xlfn.FORMULATEXT(B12)</f>
        <v>=AVERAGE(B9:B11)</v>
      </c>
      <c r="H13">
        <f>SQRT(SUMSQ(H9:H11))</f>
        <v>1</v>
      </c>
      <c r="I13">
        <f>SQRT(SUMSQ(I9:I11))</f>
        <v>0.99999999999999989</v>
      </c>
      <c r="J13">
        <f>SQRT(SUMSQ(J9:J11))</f>
        <v>1</v>
      </c>
      <c r="O13" t="s">
        <v>23</v>
      </c>
      <c r="V13" s="12">
        <v>-0.125</v>
      </c>
      <c r="W13" s="2">
        <v>-0.33333333333333331</v>
      </c>
      <c r="X13" s="11">
        <v>-0.25</v>
      </c>
      <c r="Y13" s="2"/>
      <c r="AA13" s="12">
        <v>-0.35355339059327373</v>
      </c>
      <c r="AB13" s="2">
        <v>-0.94280904158206325</v>
      </c>
      <c r="AC13" s="11">
        <v>-0.70710678118654746</v>
      </c>
    </row>
    <row r="14" spans="1:29" x14ac:dyDescent="0.25">
      <c r="H14" t="str">
        <f ca="1">_xlfn.FORMULATEXT(H13)</f>
        <v>=SQRT(SUMSQ(H9:H11))</v>
      </c>
      <c r="O14" s="15">
        <f t="shared" ref="O14:Q16" si="2">B2/SQRT(SUMSQ($B$2:$D$4))</f>
        <v>0.19611613513818404</v>
      </c>
      <c r="P14" s="14">
        <f t="shared" si="2"/>
        <v>0.29417420270727607</v>
      </c>
      <c r="Q14" s="13">
        <f t="shared" si="2"/>
        <v>0.39223227027636809</v>
      </c>
      <c r="R14" t="str">
        <f ca="1">_xlfn.FORMULATEXT(O14)</f>
        <v>=B2/SQRT(SUMSQ($B$2:$D$4))</v>
      </c>
      <c r="V14" s="10">
        <v>0.125</v>
      </c>
      <c r="W14" s="9">
        <v>0.29166666666666669</v>
      </c>
      <c r="X14" s="8">
        <v>0.25</v>
      </c>
      <c r="Y14" s="2"/>
      <c r="AA14" s="10">
        <v>0.35355339059327373</v>
      </c>
      <c r="AB14" s="9">
        <v>0.82495791138430541</v>
      </c>
      <c r="AC14" s="8">
        <v>0.70710678118654746</v>
      </c>
    </row>
    <row r="15" spans="1:29" x14ac:dyDescent="0.25">
      <c r="B15" t="s">
        <v>22</v>
      </c>
      <c r="O15" s="12">
        <f t="shared" si="2"/>
        <v>9.8058067569092022E-2</v>
      </c>
      <c r="P15" s="2">
        <f t="shared" si="2"/>
        <v>0</v>
      </c>
      <c r="Q15" s="11">
        <f t="shared" si="2"/>
        <v>0.19611613513818404</v>
      </c>
      <c r="V15" t="str">
        <f ca="1">_xlfn.FORMULATEXT(V12)</f>
        <v>=B9:B11*$W$3</v>
      </c>
      <c r="AA15" t="str">
        <f ca="1">_xlfn.FORMULATEXT(AA12)</f>
        <v>=B9:B11*$AB$3</v>
      </c>
    </row>
    <row r="16" spans="1:29" x14ac:dyDescent="0.25">
      <c r="B16" s="15" cm="1">
        <f t="array" ref="B16:D16">B2:D2-AVERAGE(B2:D2)</f>
        <v>-1</v>
      </c>
      <c r="C16" s="14">
        <v>0</v>
      </c>
      <c r="D16" s="13">
        <v>1</v>
      </c>
      <c r="E16" s="7">
        <f>AVERAGE(B16:D16)</f>
        <v>0</v>
      </c>
      <c r="F16" t="str">
        <f ca="1">_xlfn.FORMULATEXT(E16)</f>
        <v>=AVERAGE(B16:D16)</v>
      </c>
      <c r="H16" t="s">
        <v>21</v>
      </c>
      <c r="O16" s="10">
        <f t="shared" si="2"/>
        <v>0.29417420270727607</v>
      </c>
      <c r="P16" s="9">
        <f t="shared" si="2"/>
        <v>0.49029033784546011</v>
      </c>
      <c r="Q16" s="8">
        <f t="shared" si="2"/>
        <v>0.58834840541455213</v>
      </c>
    </row>
    <row r="17" spans="2:19" x14ac:dyDescent="0.25">
      <c r="B17" s="12" cm="1">
        <f t="array" ref="B17:D17">B3:D3-AVERAGE(B3:D3)</f>
        <v>0</v>
      </c>
      <c r="C17" s="2">
        <v>-1</v>
      </c>
      <c r="D17" s="11">
        <v>1</v>
      </c>
      <c r="E17" s="7">
        <f>AVERAGE(B17:D17)</f>
        <v>0</v>
      </c>
      <c r="H17" s="15" cm="1">
        <f t="array" ref="H17:J17">B2:D2/$E2</f>
        <v>0.37139067635410372</v>
      </c>
      <c r="I17" s="14">
        <v>0.55708601453115558</v>
      </c>
      <c r="J17" s="13">
        <v>0.74278135270820744</v>
      </c>
      <c r="K17" s="7">
        <f>SQRT(SUMSQ(H17:J17))</f>
        <v>1</v>
      </c>
      <c r="L17" t="str">
        <f ca="1">_xlfn.FORMULATEXT(K17)</f>
        <v>=SQRT(SUMSQ(H17:J17))</v>
      </c>
      <c r="R17">
        <f>SUMSQ(O14:Q16)</f>
        <v>1.0000000000000002</v>
      </c>
      <c r="S17" t="str">
        <f ca="1">_xlfn.FORMULATEXT(R17)</f>
        <v>=SUMSQ(O14:Q16)</v>
      </c>
    </row>
    <row r="18" spans="2:19" x14ac:dyDescent="0.25">
      <c r="B18" s="10" cm="1">
        <f t="array" ref="B18:D18">B4:D4-AVERAGE(B4:D4)</f>
        <v>-1.666666666666667</v>
      </c>
      <c r="C18" s="9">
        <v>0.33333333333333304</v>
      </c>
      <c r="D18" s="8">
        <v>1.333333333333333</v>
      </c>
      <c r="E18" s="7">
        <f>AVERAGE(B18:D18)</f>
        <v>0</v>
      </c>
      <c r="H18" s="12" cm="1">
        <f t="array" ref="H18:J18">B3:D3/$E3</f>
        <v>0.44721359549995793</v>
      </c>
      <c r="I18" s="2">
        <v>0</v>
      </c>
      <c r="J18" s="11">
        <v>0.89442719099991586</v>
      </c>
      <c r="K18" s="7">
        <f>SQRT(SUMSQ(H18:J18))</f>
        <v>1</v>
      </c>
    </row>
    <row r="19" spans="2:19" x14ac:dyDescent="0.25">
      <c r="B19" s="2" t="str">
        <f ca="1">_xlfn.FORMULATEXT(B16)</f>
        <v>=B2:D2-AVERAGE(B2:D2)</v>
      </c>
      <c r="C19" s="2"/>
      <c r="D19" s="2"/>
      <c r="H19" s="10" cm="1">
        <f t="array" ref="H19:J19">B4:D4/$E4</f>
        <v>0.35856858280031806</v>
      </c>
      <c r="I19" s="9">
        <v>0.59761430466719678</v>
      </c>
      <c r="J19" s="8">
        <v>0.71713716560063612</v>
      </c>
      <c r="K19" s="7">
        <f>SQRT(SUMSQ(H19:J19))</f>
        <v>1</v>
      </c>
    </row>
    <row r="20" spans="2:19" x14ac:dyDescent="0.25">
      <c r="H20" s="2" t="str">
        <f ca="1">_xlfn.FORMULATEXT(H17)</f>
        <v>=B2:D2/$E2</v>
      </c>
      <c r="I20" s="2"/>
      <c r="J20" s="2"/>
      <c r="K20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6FBE-AB4B-462B-B56F-BE6EB37C0C40}">
  <dimension ref="A1:X52"/>
  <sheetViews>
    <sheetView zoomScale="90" zoomScaleNormal="90" workbookViewId="0">
      <selection activeCell="I8" sqref="I8"/>
    </sheetView>
  </sheetViews>
  <sheetFormatPr defaultRowHeight="15" x14ac:dyDescent="0.25"/>
  <cols>
    <col min="2" max="2" width="9.140625" bestFit="1" customWidth="1"/>
    <col min="12" max="12" width="9.140625" customWidth="1"/>
  </cols>
  <sheetData>
    <row r="1" spans="1:24" ht="18" x14ac:dyDescent="0.35">
      <c r="A1" s="58" t="s">
        <v>85</v>
      </c>
      <c r="B1" s="57" t="s">
        <v>84</v>
      </c>
      <c r="C1" s="57" t="s">
        <v>83</v>
      </c>
      <c r="D1" s="57" t="s">
        <v>82</v>
      </c>
      <c r="E1" s="56" t="s">
        <v>81</v>
      </c>
      <c r="F1" s="43" t="s">
        <v>80</v>
      </c>
      <c r="G1" s="55">
        <v>6</v>
      </c>
      <c r="H1" t="s">
        <v>79</v>
      </c>
      <c r="J1" s="204" t="s">
        <v>78</v>
      </c>
      <c r="K1" s="205"/>
      <c r="L1" s="205"/>
      <c r="M1" s="205"/>
      <c r="N1" s="206"/>
      <c r="P1" s="204" t="s">
        <v>77</v>
      </c>
      <c r="Q1" s="205"/>
      <c r="R1" s="205"/>
      <c r="S1" s="206"/>
      <c r="U1" s="204" t="s">
        <v>76</v>
      </c>
      <c r="V1" s="205"/>
      <c r="W1" s="205"/>
      <c r="X1" s="206"/>
    </row>
    <row r="2" spans="1:24" x14ac:dyDescent="0.25">
      <c r="A2" s="26" t="s">
        <v>75</v>
      </c>
      <c r="B2" s="39">
        <v>5</v>
      </c>
      <c r="C2" s="39">
        <v>4</v>
      </c>
      <c r="D2" s="39">
        <v>2</v>
      </c>
      <c r="E2" s="25">
        <v>1</v>
      </c>
      <c r="F2" s="43" t="s">
        <v>74</v>
      </c>
      <c r="G2" s="55">
        <v>4</v>
      </c>
      <c r="H2" t="s">
        <v>73</v>
      </c>
      <c r="J2" s="22"/>
      <c r="K2" s="2">
        <f t="shared" ref="K2:N7" si="0">B2-B$8</f>
        <v>2</v>
      </c>
      <c r="L2" s="2">
        <f t="shared" si="0"/>
        <v>1</v>
      </c>
      <c r="M2" s="2">
        <f t="shared" si="0"/>
        <v>-1.3333333333333335</v>
      </c>
      <c r="N2" s="11">
        <f t="shared" si="0"/>
        <v>-2.1666666666666665</v>
      </c>
      <c r="O2" s="2" t="str">
        <f ca="1">_xlfn.FORMULATEXT(K2)</f>
        <v>=B2-B$8</v>
      </c>
      <c r="P2" s="15">
        <f>_xlfn.VAR.P($K$2:$K$7,K2:K7)</f>
        <v>2</v>
      </c>
      <c r="Q2" s="14" t="str">
        <f ca="1">_xlfn.FORMULATEXT(P2)</f>
        <v>=VAR.P($K$2:$K$7,K2:K7)</v>
      </c>
      <c r="R2" s="14"/>
      <c r="S2" s="13"/>
      <c r="T2" s="2"/>
      <c r="U2" s="15" cm="1">
        <f t="array" ref="U2:X5">MMULT(TRANSPOSE(K2:N7),K2:N7)</f>
        <v>12</v>
      </c>
      <c r="V2" s="14">
        <v>10</v>
      </c>
      <c r="W2" s="14">
        <v>-8</v>
      </c>
      <c r="X2" s="13">
        <v>-13.000000000000002</v>
      </c>
    </row>
    <row r="3" spans="1:24" x14ac:dyDescent="0.25">
      <c r="A3" s="22" t="s">
        <v>72</v>
      </c>
      <c r="B3">
        <v>4</v>
      </c>
      <c r="C3">
        <v>5</v>
      </c>
      <c r="D3">
        <v>2</v>
      </c>
      <c r="E3" s="21">
        <v>2</v>
      </c>
      <c r="F3" s="43" t="s">
        <v>71</v>
      </c>
      <c r="G3" s="55">
        <f>G1*G2</f>
        <v>24</v>
      </c>
      <c r="J3" s="22"/>
      <c r="K3" s="2">
        <f t="shared" si="0"/>
        <v>1</v>
      </c>
      <c r="L3" s="2">
        <f t="shared" si="0"/>
        <v>2</v>
      </c>
      <c r="M3" s="2">
        <f t="shared" si="0"/>
        <v>-1.3333333333333335</v>
      </c>
      <c r="N3" s="11">
        <f t="shared" si="0"/>
        <v>-1.1666666666666665</v>
      </c>
      <c r="P3" s="12">
        <f>_xlfn.COVARIANCE.P($K$2:$K$7,L2:L7)</f>
        <v>1.6666666666666667</v>
      </c>
      <c r="Q3" s="2">
        <f>_xlfn.VAR.P($L$2:$L$7,L2:L7)</f>
        <v>2</v>
      </c>
      <c r="R3" s="2"/>
      <c r="S3" s="11"/>
      <c r="U3" s="12">
        <v>10</v>
      </c>
      <c r="V3" s="2">
        <v>12</v>
      </c>
      <c r="W3" s="2">
        <v>-8.9999999999999982</v>
      </c>
      <c r="X3" s="11">
        <v>-11</v>
      </c>
    </row>
    <row r="4" spans="1:24" x14ac:dyDescent="0.25">
      <c r="A4" s="22" t="s">
        <v>70</v>
      </c>
      <c r="B4">
        <v>1</v>
      </c>
      <c r="C4">
        <v>2</v>
      </c>
      <c r="D4">
        <v>4</v>
      </c>
      <c r="E4" s="21">
        <v>5</v>
      </c>
      <c r="F4" s="43" t="s">
        <v>36</v>
      </c>
      <c r="G4">
        <v>6</v>
      </c>
      <c r="H4" t="s">
        <v>69</v>
      </c>
      <c r="J4" s="22"/>
      <c r="K4" s="2">
        <f t="shared" si="0"/>
        <v>-2</v>
      </c>
      <c r="L4" s="2">
        <f t="shared" si="0"/>
        <v>-1</v>
      </c>
      <c r="M4" s="2">
        <f t="shared" si="0"/>
        <v>0.66666666666666652</v>
      </c>
      <c r="N4" s="11">
        <f t="shared" si="0"/>
        <v>1.8333333333333335</v>
      </c>
      <c r="P4" s="12">
        <f>_xlfn.COVARIANCE.P($K$2:$K$7,M2:M7)</f>
        <v>-1.3333333333333333</v>
      </c>
      <c r="Q4" s="2">
        <f>_xlfn.COVARIANCE.P($L$2:$L$7,M2:M7)</f>
        <v>-1.5</v>
      </c>
      <c r="R4" s="2">
        <f>_xlfn.VAR.P($M$2:$M$7,M2:M7)</f>
        <v>1.2222222222222223</v>
      </c>
      <c r="S4" s="11"/>
      <c r="U4" s="12">
        <v>-8</v>
      </c>
      <c r="V4" s="2">
        <v>-8.9999999999999982</v>
      </c>
      <c r="W4" s="2">
        <v>7.3333333333333348</v>
      </c>
      <c r="X4" s="11">
        <v>8.6666666666666679</v>
      </c>
    </row>
    <row r="5" spans="1:24" x14ac:dyDescent="0.25">
      <c r="A5" s="22" t="s">
        <v>68</v>
      </c>
      <c r="B5">
        <v>2</v>
      </c>
      <c r="C5">
        <v>1</v>
      </c>
      <c r="D5">
        <v>5</v>
      </c>
      <c r="E5" s="21">
        <v>4</v>
      </c>
      <c r="F5" s="43" t="s">
        <v>67</v>
      </c>
      <c r="G5" s="54">
        <f>G4-1</f>
        <v>5</v>
      </c>
      <c r="J5" s="22"/>
      <c r="K5" s="2">
        <f t="shared" si="0"/>
        <v>-1</v>
      </c>
      <c r="L5" s="2">
        <f t="shared" si="0"/>
        <v>-2</v>
      </c>
      <c r="M5" s="2">
        <f t="shared" si="0"/>
        <v>1.6666666666666665</v>
      </c>
      <c r="N5" s="11">
        <f t="shared" si="0"/>
        <v>0.83333333333333348</v>
      </c>
      <c r="P5" s="10">
        <f>_xlfn.COVARIANCE.P($K$2:$K$7,N2:N7)</f>
        <v>-2.1666666666666665</v>
      </c>
      <c r="Q5" s="9">
        <f>_xlfn.COVARIANCE.P($L$2:$L$7,L4:L9)</f>
        <v>-0.67999999999999994</v>
      </c>
      <c r="R5" s="9">
        <f>_xlfn.COVARIANCE.P($M$2:$M$7,N2:N7)</f>
        <v>1.4444444444444444</v>
      </c>
      <c r="S5" s="8">
        <f>_xlfn.VAR.P(N2:N7,N2:N7)</f>
        <v>2.4722222222222223</v>
      </c>
      <c r="U5" s="10">
        <v>-13.000000000000002</v>
      </c>
      <c r="V5" s="9">
        <v>-11</v>
      </c>
      <c r="W5" s="9">
        <v>8.6666666666666679</v>
      </c>
      <c r="X5" s="8">
        <v>14.833333333333332</v>
      </c>
    </row>
    <row r="6" spans="1:24" x14ac:dyDescent="0.25">
      <c r="A6" s="22" t="s">
        <v>66</v>
      </c>
      <c r="B6">
        <v>4</v>
      </c>
      <c r="C6">
        <v>4</v>
      </c>
      <c r="D6">
        <v>3</v>
      </c>
      <c r="E6" s="21">
        <v>2</v>
      </c>
      <c r="F6" s="43" t="s">
        <v>65</v>
      </c>
      <c r="G6" s="34">
        <f>1/G5</f>
        <v>0.2</v>
      </c>
      <c r="H6" t="str">
        <f ca="1">_xlfn.FORMULATEXT(G6)</f>
        <v>=1/G5</v>
      </c>
      <c r="J6" s="22"/>
      <c r="K6" s="2">
        <f t="shared" si="0"/>
        <v>1</v>
      </c>
      <c r="L6" s="2">
        <f t="shared" si="0"/>
        <v>1</v>
      </c>
      <c r="M6" s="2">
        <f t="shared" si="0"/>
        <v>-0.33333333333333348</v>
      </c>
      <c r="N6" s="11">
        <f t="shared" si="0"/>
        <v>-1.1666666666666665</v>
      </c>
      <c r="P6" t="str">
        <f ca="1">_xlfn.FORMULATEXT(P5)</f>
        <v>=COVARIANCE.P($K$2:$K$7,N2:N7)</v>
      </c>
      <c r="U6" t="str">
        <f ca="1">_xlfn.FORMULATEXT(U2)</f>
        <v>=MMULT(TRANSPOSE(K2:N7),K2:N7)</v>
      </c>
    </row>
    <row r="7" spans="1:24" x14ac:dyDescent="0.25">
      <c r="A7" s="17" t="s">
        <v>64</v>
      </c>
      <c r="B7" s="30">
        <v>2</v>
      </c>
      <c r="C7" s="30">
        <v>2</v>
      </c>
      <c r="D7" s="30">
        <v>4</v>
      </c>
      <c r="E7" s="16">
        <v>5</v>
      </c>
      <c r="J7" s="22"/>
      <c r="K7" s="2">
        <f t="shared" si="0"/>
        <v>-1</v>
      </c>
      <c r="L7" s="2">
        <f t="shared" si="0"/>
        <v>-1</v>
      </c>
      <c r="M7" s="2">
        <f t="shared" si="0"/>
        <v>0.66666666666666652</v>
      </c>
      <c r="N7" s="11">
        <f t="shared" si="0"/>
        <v>1.8333333333333335</v>
      </c>
    </row>
    <row r="8" spans="1:24" ht="18" x14ac:dyDescent="0.35">
      <c r="A8" s="53" t="s">
        <v>63</v>
      </c>
      <c r="B8" s="51">
        <f>AVERAGE(B2:B7)</f>
        <v>3</v>
      </c>
      <c r="C8" s="51">
        <f>AVERAGE(C2:C7)</f>
        <v>3</v>
      </c>
      <c r="D8" s="51">
        <f>AVERAGE(D2:D7)</f>
        <v>3.3333333333333335</v>
      </c>
      <c r="E8" s="50">
        <f>AVERAGE(E2:E7)</f>
        <v>3.1666666666666665</v>
      </c>
      <c r="J8" s="53" t="s">
        <v>63</v>
      </c>
      <c r="K8" s="51">
        <f>AVERAGE(K2:K7)</f>
        <v>0</v>
      </c>
      <c r="L8" s="51">
        <f>AVERAGE(L2:L7)</f>
        <v>0</v>
      </c>
      <c r="M8" s="51">
        <f>AVERAGE(M2:M7)</f>
        <v>-1.4802973661668753E-16</v>
      </c>
      <c r="N8" s="50">
        <f>AVERAGE(N2:N7)</f>
        <v>0</v>
      </c>
      <c r="P8" s="204" t="s">
        <v>62</v>
      </c>
      <c r="Q8" s="205"/>
      <c r="R8" s="205"/>
      <c r="S8" s="206"/>
      <c r="U8" s="204" t="s">
        <v>61</v>
      </c>
      <c r="V8" s="205"/>
      <c r="W8" s="205"/>
      <c r="X8" s="206"/>
    </row>
    <row r="9" spans="1:24" x14ac:dyDescent="0.25">
      <c r="B9" s="2" t="str">
        <f ca="1">_xlfn.FORMULATEXT(B8)</f>
        <v>=AVERAGE(B2:B7)</v>
      </c>
      <c r="K9" s="2" t="str">
        <f ca="1">_xlfn.FORMULATEXT(K8)</f>
        <v>=AVERAGE(K2:K7)</v>
      </c>
      <c r="P9" s="15">
        <f>_xlfn.COVARIANCE.S($K$2:$K$7,K2:K7)</f>
        <v>2.4</v>
      </c>
      <c r="Q9" s="14">
        <f>_xlfn.COVARIANCE.S(K$2:K$7,$L$2:$L$7)</f>
        <v>2</v>
      </c>
      <c r="R9" s="14">
        <f>_xlfn.COVARIANCE.S(K$2:K$7,$M$2:$M$7)</f>
        <v>-1.6</v>
      </c>
      <c r="S9" s="13">
        <f>_xlfn.COVARIANCE.S(K$2:K$7,$N$2:$N$7)</f>
        <v>-2.6</v>
      </c>
      <c r="U9" s="15" cm="1">
        <f t="array" ref="U9:X12">G6*U2:X5</f>
        <v>2.4000000000000004</v>
      </c>
      <c r="V9" s="14">
        <v>2</v>
      </c>
      <c r="W9" s="14">
        <v>-1.6</v>
      </c>
      <c r="X9" s="13">
        <v>-2.6000000000000005</v>
      </c>
    </row>
    <row r="10" spans="1:24" x14ac:dyDescent="0.25">
      <c r="B10" s="2"/>
      <c r="K10" s="2"/>
      <c r="P10" s="12">
        <f>_xlfn.COVARIANCE.S($K$2:$K$7,L2:L7)</f>
        <v>2</v>
      </c>
      <c r="Q10" s="2">
        <f>_xlfn.COVARIANCE.S(L$2:L$7,$L$2:$L$7)</f>
        <v>2.4</v>
      </c>
      <c r="R10" s="2">
        <f>_xlfn.COVARIANCE.S(L$2:L$7,$M$2:$M$7)</f>
        <v>-1.8</v>
      </c>
      <c r="S10" s="11">
        <f>_xlfn.COVARIANCE.S(L$2:L$7,$N$2:$N$7)</f>
        <v>-2.2000000000000002</v>
      </c>
      <c r="U10" s="12">
        <v>2</v>
      </c>
      <c r="V10" s="2">
        <v>2.4000000000000004</v>
      </c>
      <c r="W10" s="2">
        <v>-1.7999999999999998</v>
      </c>
      <c r="X10" s="11">
        <v>-2.2000000000000002</v>
      </c>
    </row>
    <row r="11" spans="1:24" ht="15.75" thickBot="1" x14ac:dyDescent="0.3">
      <c r="A11" t="s">
        <v>60</v>
      </c>
      <c r="B11" s="2"/>
      <c r="J11" t="s">
        <v>60</v>
      </c>
      <c r="K11" s="2"/>
      <c r="P11" s="12">
        <f>_xlfn.COVARIANCE.S($K$2:$K$7,M2:M7)</f>
        <v>-1.6</v>
      </c>
      <c r="Q11" s="2">
        <f>_xlfn.COVARIANCE.S(M$2:M$7,$L$2:$L$7)</f>
        <v>-1.8</v>
      </c>
      <c r="R11" s="2">
        <f>_xlfn.COVARIANCE.S(M$2:M$7,$M$2:$M$7)</f>
        <v>1.4666666666666668</v>
      </c>
      <c r="S11" s="11">
        <f>_xlfn.COVARIANCE.S(M$2:M$7,$N$2:$N$7)</f>
        <v>1.7333333333333332</v>
      </c>
      <c r="U11" s="12">
        <v>-1.6</v>
      </c>
      <c r="V11" s="2">
        <v>-1.7999999999999998</v>
      </c>
      <c r="W11" s="2">
        <v>1.466666666666667</v>
      </c>
      <c r="X11" s="11">
        <v>1.7333333333333336</v>
      </c>
    </row>
    <row r="12" spans="1:24" x14ac:dyDescent="0.25">
      <c r="A12" s="47"/>
      <c r="B12" s="47" t="s">
        <v>45</v>
      </c>
      <c r="C12" s="47" t="s">
        <v>43</v>
      </c>
      <c r="D12" s="47" t="s">
        <v>42</v>
      </c>
      <c r="E12" s="47" t="s">
        <v>41</v>
      </c>
      <c r="J12" s="47"/>
      <c r="K12" s="47" t="s">
        <v>45</v>
      </c>
      <c r="L12" s="47" t="s">
        <v>43</v>
      </c>
      <c r="M12" s="47" t="s">
        <v>42</v>
      </c>
      <c r="N12" s="47" t="s">
        <v>41</v>
      </c>
      <c r="P12" s="10">
        <f>_xlfn.COVARIANCE.S($K$2:$K$7,N2:N7)</f>
        <v>-2.6</v>
      </c>
      <c r="Q12" s="9">
        <f>_xlfn.COVARIANCE.S(N$2:N$7,$L$2:$L$7)</f>
        <v>-2.2000000000000002</v>
      </c>
      <c r="R12" s="9">
        <f>_xlfn.COVARIANCE.S(N$2:N$7,$M$2:$M$7)</f>
        <v>1.7333333333333332</v>
      </c>
      <c r="S12" s="8">
        <f>_xlfn.COVARIANCE.S(N$2:N$7,$N$2:$N$7)</f>
        <v>2.9666666666666663</v>
      </c>
      <c r="U12" s="10">
        <v>-2.6000000000000005</v>
      </c>
      <c r="V12" s="9">
        <v>-2.2000000000000002</v>
      </c>
      <c r="W12" s="9">
        <v>1.7333333333333336</v>
      </c>
      <c r="X12" s="8">
        <v>2.9666666666666668</v>
      </c>
    </row>
    <row r="13" spans="1:24" x14ac:dyDescent="0.25">
      <c r="A13" t="s">
        <v>45</v>
      </c>
      <c r="B13" s="2">
        <f>VARP('Fig.3.6.1-3.6.6'!$B$2:$B$7)</f>
        <v>2</v>
      </c>
      <c r="C13" s="2"/>
      <c r="J13" t="s">
        <v>45</v>
      </c>
      <c r="K13" s="2">
        <f>VARP('Fig.3.6.1-3.6.6'!$K$2:$K$7)</f>
        <v>2</v>
      </c>
      <c r="L13" s="2"/>
      <c r="M13" s="2"/>
      <c r="N13" s="2"/>
      <c r="P13" t="str">
        <f ca="1">_xlfn.FORMULATEXT(P9)</f>
        <v>=COVARIANCE.S($K$2:$K$7,K2:K7)</v>
      </c>
      <c r="U13" s="2" t="str">
        <f ca="1">_xlfn.FORMULATEXT(U9)</f>
        <v>=G6*U2:X5</v>
      </c>
      <c r="V13" s="2"/>
      <c r="W13" s="2"/>
      <c r="X13" s="2"/>
    </row>
    <row r="14" spans="1:24" x14ac:dyDescent="0.25">
      <c r="A14" t="s">
        <v>43</v>
      </c>
      <c r="B14" s="2">
        <v>1.6666666666666667</v>
      </c>
      <c r="C14" s="2">
        <f>VARP('Fig.3.6.1-3.6.6'!$C$2:$C$7)</f>
        <v>2</v>
      </c>
      <c r="J14" t="s">
        <v>43</v>
      </c>
      <c r="K14" s="2">
        <v>1.6666666666666667</v>
      </c>
      <c r="L14" s="2">
        <f>VARP('Fig.3.6.1-3.6.6'!$L$2:$L$7)</f>
        <v>2</v>
      </c>
      <c r="M14" s="2"/>
      <c r="N14" s="2"/>
      <c r="U14" s="2"/>
      <c r="V14" s="2"/>
      <c r="W14" s="2"/>
      <c r="X14" s="2"/>
    </row>
    <row r="15" spans="1:24" x14ac:dyDescent="0.25">
      <c r="A15" t="s">
        <v>42</v>
      </c>
      <c r="B15" s="2">
        <v>-1.3333333333333333</v>
      </c>
      <c r="C15" s="2">
        <v>-1.4999999999999998</v>
      </c>
      <c r="D15" s="2">
        <f>VARP('Fig.3.6.1-3.6.6'!$D$2:$D$7)</f>
        <v>1.2222222222222223</v>
      </c>
      <c r="J15" t="s">
        <v>42</v>
      </c>
      <c r="K15" s="2">
        <v>-1.3333333333333333</v>
      </c>
      <c r="L15" s="2">
        <v>-1.5</v>
      </c>
      <c r="M15" s="2">
        <f>VARP('Fig.3.6.1-3.6.6'!$M$2:$M$7)</f>
        <v>1.2222222222222223</v>
      </c>
      <c r="N15" s="2"/>
      <c r="U15" s="52" t="s">
        <v>59</v>
      </c>
      <c r="V15" s="51"/>
      <c r="W15" s="51"/>
      <c r="X15" s="50"/>
    </row>
    <row r="16" spans="1:24" ht="15.75" thickBot="1" x14ac:dyDescent="0.3">
      <c r="A16" s="45" t="s">
        <v>41</v>
      </c>
      <c r="B16" s="46">
        <v>-2</v>
      </c>
      <c r="C16" s="46">
        <v>-1.6666666666666667</v>
      </c>
      <c r="D16" s="46">
        <v>1.3333333333333333</v>
      </c>
      <c r="E16" s="46">
        <f>VARP('Fig.3.6.1-3.6.6'!$E$2:$E$7)</f>
        <v>2.4722222222222223</v>
      </c>
      <c r="J16" s="45" t="s">
        <v>41</v>
      </c>
      <c r="K16" s="46">
        <v>-2</v>
      </c>
      <c r="L16" s="46">
        <v>-1.6666666666666667</v>
      </c>
      <c r="M16" s="46">
        <v>1.3333333333333333</v>
      </c>
      <c r="N16" s="46">
        <f>VARP('Fig.3.6.1-3.6.6'!$N$2:$N$7)</f>
        <v>2.4722222222222223</v>
      </c>
      <c r="U16" s="49" cm="1">
        <f t="array" ref="U16:X19">G6*(MMULT(TRANSPOSE(K2:N7),K2:N7))</f>
        <v>2.4000000000000004</v>
      </c>
      <c r="V16" s="2">
        <v>2</v>
      </c>
      <c r="W16" s="2">
        <v>-1.6</v>
      </c>
      <c r="X16" s="11">
        <v>-2.6000000000000005</v>
      </c>
    </row>
    <row r="17" spans="1:24" x14ac:dyDescent="0.25">
      <c r="K17" s="2"/>
      <c r="U17" s="12">
        <v>2</v>
      </c>
      <c r="V17" s="2">
        <v>2.4000000000000004</v>
      </c>
      <c r="W17" s="2">
        <v>-1.7999999999999998</v>
      </c>
      <c r="X17" s="11">
        <v>-2.2000000000000002</v>
      </c>
    </row>
    <row r="18" spans="1:24" x14ac:dyDescent="0.25">
      <c r="U18" s="12">
        <v>-1.6</v>
      </c>
      <c r="V18" s="2">
        <v>-1.7999999999999998</v>
      </c>
      <c r="W18" s="2">
        <v>1.466666666666667</v>
      </c>
      <c r="X18" s="11">
        <v>1.7333333333333336</v>
      </c>
    </row>
    <row r="19" spans="1:24" x14ac:dyDescent="0.25">
      <c r="U19" s="10">
        <v>-2.6000000000000005</v>
      </c>
      <c r="V19" s="9">
        <v>-2.2000000000000002</v>
      </c>
      <c r="W19" s="9">
        <v>1.7333333333333336</v>
      </c>
      <c r="X19" s="8">
        <v>2.9666666666666668</v>
      </c>
    </row>
    <row r="20" spans="1:24" x14ac:dyDescent="0.25">
      <c r="F20" s="2"/>
      <c r="U20" s="2" t="str">
        <f ca="1">_xlfn.FORMULATEXT(U16)</f>
        <v>=G6*(MMULT(TRANSPOSE(K2:N7),K2:N7))</v>
      </c>
      <c r="V20" s="2"/>
      <c r="X20" s="2"/>
    </row>
    <row r="21" spans="1:24" x14ac:dyDescent="0.25">
      <c r="F21" s="2"/>
      <c r="U21" s="2"/>
    </row>
    <row r="23" spans="1:24" ht="18" x14ac:dyDescent="0.35">
      <c r="A23" t="s">
        <v>58</v>
      </c>
      <c r="F23" t="s">
        <v>57</v>
      </c>
      <c r="K23" t="s">
        <v>56</v>
      </c>
      <c r="M23" s="1" t="s">
        <v>55</v>
      </c>
      <c r="P23" t="s">
        <v>54</v>
      </c>
    </row>
    <row r="24" spans="1:24" x14ac:dyDescent="0.25">
      <c r="A24" cm="1">
        <f t="array" ref="A24:A29">(B2:B7)-AVERAGE(B$2:B$7)</f>
        <v>2</v>
      </c>
      <c r="B24" cm="1">
        <f t="array" ref="B24:B29">(C2:C7)-AVERAGE(C$2:C$7)</f>
        <v>1</v>
      </c>
      <c r="C24" s="2" cm="1">
        <f t="array" ref="C24:C29">(D2:D7)-AVERAGE(D$2:D$7)</f>
        <v>-1.3333333333333335</v>
      </c>
      <c r="D24" s="2" cm="1">
        <f t="array" ref="D24:D29">(E2:E7)-AVERAGE(E$2:E$7)</f>
        <v>-2.1666666666666665</v>
      </c>
      <c r="F24">
        <f>_xlfn.STDEV.S(B2:B7)</f>
        <v>1.5491933384829668</v>
      </c>
      <c r="G24">
        <v>0</v>
      </c>
      <c r="H24">
        <v>0</v>
      </c>
      <c r="I24">
        <v>0</v>
      </c>
      <c r="K24" s="2" cm="1">
        <f t="array" ref="K24:N29">MMULT(A24:D29,MINVERSE(F24:I27))</f>
        <v>1.2909944487358056</v>
      </c>
      <c r="L24" s="2">
        <v>0.6454972243679028</v>
      </c>
      <c r="M24" s="2">
        <v>-1.1009637651263611</v>
      </c>
      <c r="N24" s="2">
        <v>-1.257933624538798</v>
      </c>
      <c r="P24" s="2" cm="1">
        <f t="array" ref="P24:P29">(B2:B7-AVERAGE(B2:B7))/_xlfn.STDEV.S(B2:B7)</f>
        <v>1.2909944487358056</v>
      </c>
      <c r="Q24" s="2" cm="1">
        <f t="array" ref="Q24:Q29">(C2:C7-AVERAGE(C2:C7))/_xlfn.STDEV.S(C2:C7)</f>
        <v>0.6454972243679028</v>
      </c>
      <c r="R24" s="2" cm="1">
        <f t="array" ref="R24:R29">(D2:D7-AVERAGE(D2:D7))/_xlfn.STDEV.S(D2:D7)</f>
        <v>-1.1009637651263611</v>
      </c>
      <c r="S24" s="2" cm="1">
        <f t="array" ref="S24:S29">(E2:E7-AVERAGE(E2:E7))/_xlfn.STDEV.S(E2:E7)</f>
        <v>-1.257933624538798</v>
      </c>
    </row>
    <row r="25" spans="1:24" x14ac:dyDescent="0.25">
      <c r="A25">
        <v>1</v>
      </c>
      <c r="B25">
        <v>2</v>
      </c>
      <c r="C25" s="2">
        <v>-1.3333333333333335</v>
      </c>
      <c r="D25" s="2">
        <v>-1.1666666666666665</v>
      </c>
      <c r="F25">
        <v>0</v>
      </c>
      <c r="G25">
        <f>_xlfn.STDEV.S(C2:C7)</f>
        <v>1.5491933384829668</v>
      </c>
      <c r="H25">
        <v>0</v>
      </c>
      <c r="I25">
        <v>0</v>
      </c>
      <c r="K25" s="2">
        <v>0.6454972243679028</v>
      </c>
      <c r="L25" s="2">
        <v>1.2909944487358056</v>
      </c>
      <c r="M25" s="2">
        <v>-1.1009637651263611</v>
      </c>
      <c r="N25" s="2">
        <v>-0.67734887475166039</v>
      </c>
      <c r="P25" s="2">
        <v>0.6454972243679028</v>
      </c>
      <c r="Q25" s="2">
        <v>1.2909944487358056</v>
      </c>
      <c r="R25" s="2">
        <v>-1.1009637651263611</v>
      </c>
      <c r="S25" s="2">
        <v>-0.6773488747516605</v>
      </c>
    </row>
    <row r="26" spans="1:24" x14ac:dyDescent="0.25">
      <c r="A26">
        <v>-2</v>
      </c>
      <c r="B26">
        <v>-1</v>
      </c>
      <c r="C26" s="2">
        <v>0.66666666666666652</v>
      </c>
      <c r="D26" s="2">
        <v>1.8333333333333335</v>
      </c>
      <c r="F26">
        <v>0</v>
      </c>
      <c r="G26">
        <v>0</v>
      </c>
      <c r="H26">
        <f>_xlfn.STDEV.S(D2:D7)</f>
        <v>1.2110601416389963</v>
      </c>
      <c r="I26">
        <v>0</v>
      </c>
      <c r="K26" s="2">
        <v>-1.2909944487358056</v>
      </c>
      <c r="L26" s="2">
        <v>-0.6454972243679028</v>
      </c>
      <c r="M26" s="2">
        <v>0.55048188256318031</v>
      </c>
      <c r="N26" s="2">
        <v>1.0644053746097524</v>
      </c>
      <c r="P26" s="2">
        <v>-1.2909944487358056</v>
      </c>
      <c r="Q26" s="2">
        <v>-0.6454972243679028</v>
      </c>
      <c r="R26" s="2">
        <v>0.55048188256318031</v>
      </c>
      <c r="S26" s="2">
        <v>1.0644053746097524</v>
      </c>
    </row>
    <row r="27" spans="1:24" x14ac:dyDescent="0.25">
      <c r="A27">
        <v>-1</v>
      </c>
      <c r="B27">
        <v>-2</v>
      </c>
      <c r="C27" s="2">
        <v>1.6666666666666665</v>
      </c>
      <c r="D27" s="2">
        <v>0.83333333333333348</v>
      </c>
      <c r="F27">
        <v>0</v>
      </c>
      <c r="G27">
        <v>0</v>
      </c>
      <c r="H27">
        <v>0</v>
      </c>
      <c r="I27">
        <f>_xlfn.STDEV.S(E2:E7)</f>
        <v>1.7224014243685086</v>
      </c>
      <c r="K27" s="2">
        <v>-0.6454972243679028</v>
      </c>
      <c r="L27" s="2">
        <v>-1.2909944487358056</v>
      </c>
      <c r="M27" s="2">
        <v>1.376204706407951</v>
      </c>
      <c r="N27" s="2">
        <v>0.48382062482261473</v>
      </c>
      <c r="P27" s="2">
        <v>-0.6454972243679028</v>
      </c>
      <c r="Q27" s="2">
        <v>-1.2909944487358056</v>
      </c>
      <c r="R27" s="2">
        <v>1.376204706407951</v>
      </c>
      <c r="S27" s="2">
        <v>0.48382062482261473</v>
      </c>
    </row>
    <row r="28" spans="1:24" x14ac:dyDescent="0.25">
      <c r="A28">
        <v>1</v>
      </c>
      <c r="B28">
        <v>1</v>
      </c>
      <c r="C28" s="2">
        <v>-0.33333333333333348</v>
      </c>
      <c r="D28" s="2">
        <v>-1.1666666666666665</v>
      </c>
      <c r="K28" s="2">
        <v>0.6454972243679028</v>
      </c>
      <c r="L28" s="2">
        <v>0.6454972243679028</v>
      </c>
      <c r="M28" s="2">
        <v>-0.27524094128159038</v>
      </c>
      <c r="N28" s="2">
        <v>-0.67734887475166039</v>
      </c>
      <c r="P28" s="2">
        <v>0.6454972243679028</v>
      </c>
      <c r="Q28" s="2">
        <v>0.6454972243679028</v>
      </c>
      <c r="R28" s="2">
        <v>-0.27524094128159032</v>
      </c>
      <c r="S28" s="2">
        <v>-0.6773488747516605</v>
      </c>
    </row>
    <row r="29" spans="1:24" x14ac:dyDescent="0.25">
      <c r="A29">
        <v>-1</v>
      </c>
      <c r="B29">
        <v>-1</v>
      </c>
      <c r="C29" s="2">
        <v>0.66666666666666652</v>
      </c>
      <c r="D29" s="2">
        <v>1.8333333333333335</v>
      </c>
      <c r="K29" s="2">
        <v>-0.6454972243679028</v>
      </c>
      <c r="L29" s="2">
        <v>-0.6454972243679028</v>
      </c>
      <c r="M29" s="2">
        <v>0.55048188256318031</v>
      </c>
      <c r="N29" s="2">
        <v>1.0644053746097524</v>
      </c>
      <c r="P29" s="2">
        <v>-0.6454972243679028</v>
      </c>
      <c r="Q29" s="2">
        <v>-0.6454972243679028</v>
      </c>
      <c r="R29" s="2">
        <v>0.55048188256318031</v>
      </c>
      <c r="S29" s="2">
        <v>1.0644053746097524</v>
      </c>
    </row>
    <row r="30" spans="1:24" x14ac:dyDescent="0.25">
      <c r="A30" t="str">
        <f ca="1">_xlfn.FORMULATEXT(A24)</f>
        <v>=(B2:B7)-AVERAGE(B$2:B$7)</v>
      </c>
      <c r="F30" t="str">
        <f ca="1">_xlfn.FORMULATEXT(F24)</f>
        <v>=STDEV.S(B2:B7)</v>
      </c>
      <c r="K30" t="str">
        <f ca="1">_xlfn.FORMULATEXT(K24)</f>
        <v>=MMULT(A24:D29,MINVERSE(F24:I27))</v>
      </c>
      <c r="P30" t="str">
        <f ca="1">_xlfn.FORMULATEXT(P24)</f>
        <v>=(B2:B7-AVERAGE(B2:B7))/STDEV.S(B2:B7)</v>
      </c>
    </row>
    <row r="31" spans="1:24" x14ac:dyDescent="0.25">
      <c r="W31" s="2"/>
      <c r="X31" s="2"/>
    </row>
    <row r="32" spans="1:24" ht="15.75" thickBot="1" x14ac:dyDescent="0.3">
      <c r="D32" t="s">
        <v>53</v>
      </c>
      <c r="E32" s="48" t="s">
        <v>52</v>
      </c>
      <c r="R32" t="s">
        <v>51</v>
      </c>
      <c r="W32" s="2"/>
      <c r="X32" s="2"/>
    </row>
    <row r="33" spans="4:24" ht="18" x14ac:dyDescent="0.35">
      <c r="D33" t="s">
        <v>50</v>
      </c>
      <c r="E33" t="s">
        <v>49</v>
      </c>
      <c r="G33" t="s">
        <v>48</v>
      </c>
      <c r="K33" t="s">
        <v>47</v>
      </c>
      <c r="R33" s="47"/>
      <c r="S33" s="47" t="s">
        <v>45</v>
      </c>
      <c r="T33" s="47" t="s">
        <v>43</v>
      </c>
      <c r="U33" s="47" t="s">
        <v>42</v>
      </c>
      <c r="V33" s="47" t="s">
        <v>41</v>
      </c>
      <c r="W33" s="2"/>
      <c r="X33" s="2"/>
    </row>
    <row r="34" spans="4:24" ht="18" x14ac:dyDescent="0.35">
      <c r="D34" t="s">
        <v>46</v>
      </c>
      <c r="K34" cm="1">
        <f t="array" ref="K34:N37">MMULT(MINVERSE(F24:I27),MMULT(U16:X19,MINVERSE(F24:I27)))</f>
        <v>1.0000000000000002</v>
      </c>
      <c r="L34" s="2">
        <v>0.83333333333333326</v>
      </c>
      <c r="M34" s="2">
        <v>-0.85280286542244199</v>
      </c>
      <c r="N34" s="2">
        <v>-0.97439119569461996</v>
      </c>
      <c r="R34" t="s">
        <v>45</v>
      </c>
      <c r="S34">
        <v>1</v>
      </c>
      <c r="W34" s="2"/>
      <c r="X34" s="2"/>
    </row>
    <row r="35" spans="4:24" ht="18" x14ac:dyDescent="0.35">
      <c r="D35" t="s">
        <v>44</v>
      </c>
      <c r="K35" s="2">
        <v>0.83333333333333326</v>
      </c>
      <c r="L35">
        <v>1.0000000000000002</v>
      </c>
      <c r="M35" s="2">
        <v>-0.9594032236002471</v>
      </c>
      <c r="N35" s="2">
        <v>-0.82448485789544756</v>
      </c>
      <c r="R35" t="s">
        <v>43</v>
      </c>
      <c r="S35" s="2">
        <v>0.83333333333333315</v>
      </c>
      <c r="T35">
        <v>1</v>
      </c>
      <c r="W35" s="2"/>
      <c r="X35" s="2"/>
    </row>
    <row r="36" spans="4:24" x14ac:dyDescent="0.25">
      <c r="K36" s="2">
        <v>-0.8528028654224421</v>
      </c>
      <c r="L36" s="2">
        <v>-0.9594032236002471</v>
      </c>
      <c r="M36">
        <v>1.0000000000000007</v>
      </c>
      <c r="N36" s="2">
        <v>0.83096360373077138</v>
      </c>
      <c r="R36" t="s">
        <v>42</v>
      </c>
      <c r="S36" s="2">
        <v>-0.85280286542244155</v>
      </c>
      <c r="T36" s="2">
        <v>-0.95940322360024655</v>
      </c>
      <c r="U36">
        <v>1</v>
      </c>
      <c r="W36" s="2"/>
      <c r="X36" s="2"/>
    </row>
    <row r="37" spans="4:24" ht="15.75" thickBot="1" x14ac:dyDescent="0.3">
      <c r="K37" s="2">
        <v>-0.97439119569461985</v>
      </c>
      <c r="L37" s="2">
        <v>-0.82448485789544756</v>
      </c>
      <c r="M37" s="34">
        <v>0.83096360373077127</v>
      </c>
      <c r="N37">
        <v>0.99999999999999967</v>
      </c>
      <c r="R37" s="45" t="s">
        <v>41</v>
      </c>
      <c r="S37" s="46">
        <v>-0.97439119569462007</v>
      </c>
      <c r="T37" s="46">
        <v>-0.82448485789544756</v>
      </c>
      <c r="U37" s="46">
        <v>0.83096360373077105</v>
      </c>
      <c r="V37" s="45">
        <v>1</v>
      </c>
    </row>
    <row r="38" spans="4:24" x14ac:dyDescent="0.25">
      <c r="K38" t="str">
        <f ca="1">_xlfn.FORMULATEXT(K34)</f>
        <v>=MMULT(MINVERSE(F24:I27),MMULT(U16:X19,MINVERSE(F24:I27)))</v>
      </c>
    </row>
    <row r="40" spans="4:24" x14ac:dyDescent="0.25">
      <c r="N40" s="2"/>
      <c r="O40" s="2"/>
      <c r="P40" s="2"/>
      <c r="Q40" s="2"/>
      <c r="R40" s="2"/>
      <c r="S40" s="2"/>
      <c r="T40" s="2"/>
    </row>
    <row r="41" spans="4:24" x14ac:dyDescent="0.25">
      <c r="N41" s="2"/>
      <c r="O41" s="2"/>
      <c r="P41" s="2"/>
      <c r="Q41" s="2"/>
      <c r="R41" s="2"/>
      <c r="S41" s="2"/>
      <c r="T41" s="2"/>
    </row>
    <row r="42" spans="4:24" x14ac:dyDescent="0.25">
      <c r="N42" s="2"/>
      <c r="O42" s="2"/>
      <c r="P42" s="2"/>
      <c r="Q42" s="2"/>
      <c r="R42" s="2"/>
      <c r="S42" s="2"/>
      <c r="T42" s="2"/>
    </row>
    <row r="43" spans="4:24" x14ac:dyDescent="0.25">
      <c r="N43" s="2"/>
      <c r="O43" s="2"/>
      <c r="P43" s="2"/>
      <c r="Q43" s="2"/>
      <c r="R43" s="2"/>
      <c r="S43" s="2"/>
      <c r="T43" s="2"/>
    </row>
    <row r="44" spans="4:24" x14ac:dyDescent="0.25">
      <c r="N44" s="2"/>
      <c r="O44" s="2"/>
      <c r="P44" s="2"/>
      <c r="Q44" s="2"/>
      <c r="R44" s="2"/>
      <c r="S44" s="2"/>
      <c r="T44" s="2"/>
    </row>
    <row r="45" spans="4:24" x14ac:dyDescent="0.25">
      <c r="N45" s="2"/>
      <c r="O45" s="2"/>
      <c r="P45" s="2"/>
      <c r="Q45" s="2"/>
      <c r="R45" s="2"/>
      <c r="S45" s="2"/>
      <c r="T45" s="2"/>
    </row>
    <row r="46" spans="4:24" x14ac:dyDescent="0.25">
      <c r="J46" s="2"/>
      <c r="K46" s="2"/>
      <c r="L46" s="2"/>
      <c r="M46" s="2"/>
    </row>
    <row r="52" spans="14:20" x14ac:dyDescent="0.25">
      <c r="N52" s="2"/>
      <c r="O52" s="2"/>
      <c r="P52" s="2"/>
      <c r="Q52" s="2"/>
      <c r="R52" s="2"/>
      <c r="S52" s="2"/>
      <c r="T52" s="2"/>
    </row>
  </sheetData>
  <mergeCells count="5">
    <mergeCell ref="J1:N1"/>
    <mergeCell ref="P1:S1"/>
    <mergeCell ref="P8:S8"/>
    <mergeCell ref="U1:X1"/>
    <mergeCell ref="U8:X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7B4B4-C5FD-4E20-91DE-67C14FC3504C}">
  <dimension ref="A1:AK46"/>
  <sheetViews>
    <sheetView zoomScale="80" zoomScaleNormal="80" workbookViewId="0">
      <selection activeCell="R29" sqref="R29"/>
    </sheetView>
  </sheetViews>
  <sheetFormatPr defaultRowHeight="15" x14ac:dyDescent="0.25"/>
  <cols>
    <col min="30" max="30" width="9.5703125" customWidth="1"/>
  </cols>
  <sheetData>
    <row r="1" spans="1:27" x14ac:dyDescent="0.25">
      <c r="B1" s="208" t="s">
        <v>121</v>
      </c>
      <c r="C1" s="208"/>
      <c r="D1" s="208"/>
      <c r="E1" s="208"/>
      <c r="F1" s="55"/>
      <c r="H1" s="208" t="s">
        <v>120</v>
      </c>
      <c r="I1" s="208"/>
      <c r="J1" s="208"/>
      <c r="K1" s="208"/>
      <c r="L1" s="55"/>
      <c r="N1" s="207" t="s">
        <v>119</v>
      </c>
      <c r="O1" s="207"/>
      <c r="P1" s="207"/>
      <c r="Q1" s="207"/>
      <c r="S1" s="208" t="s">
        <v>118</v>
      </c>
      <c r="T1" s="208"/>
      <c r="U1" s="208"/>
      <c r="V1" s="208"/>
      <c r="X1" s="208" t="s">
        <v>117</v>
      </c>
      <c r="Y1" s="208"/>
      <c r="Z1" s="208"/>
      <c r="AA1" s="208"/>
    </row>
    <row r="2" spans="1:27" x14ac:dyDescent="0.25">
      <c r="B2" s="95">
        <v>5</v>
      </c>
      <c r="C2" s="94">
        <v>4</v>
      </c>
      <c r="D2" s="94">
        <v>2</v>
      </c>
      <c r="E2" s="96">
        <v>1</v>
      </c>
      <c r="H2" s="95">
        <f t="shared" ref="H2:K7" si="0">(B2-B$9)/B$10</f>
        <v>1.2909944487358056</v>
      </c>
      <c r="I2" s="94">
        <f t="shared" si="0"/>
        <v>0.6454972243679028</v>
      </c>
      <c r="J2" s="94">
        <f t="shared" si="0"/>
        <v>-1.1009637651263611</v>
      </c>
      <c r="K2" s="96">
        <f t="shared" si="0"/>
        <v>-1.257933624538798</v>
      </c>
      <c r="N2" s="95" cm="1">
        <f t="array" ref="N2:N7">B2:B7-AVERAGE(B2:B7)</f>
        <v>2</v>
      </c>
      <c r="O2" s="94" cm="1">
        <f t="array" ref="O2:O7">C2:C7-AVERAGE(C2:C7)</f>
        <v>1</v>
      </c>
      <c r="P2" s="93" cm="1">
        <f t="array" ref="P2:P7">D2:D7-AVERAGE(D2:D7)</f>
        <v>-1.3333333333333335</v>
      </c>
      <c r="Q2" s="92" cm="1">
        <f t="array" ref="Q2:Q7">E2:E7-AVERAGE(E2:E7)</f>
        <v>-2.1666666666666665</v>
      </c>
      <c r="S2" s="55">
        <f>_xlfn.STDEV.S(B2:B7)</f>
        <v>1.5491933384829668</v>
      </c>
      <c r="T2">
        <v>0</v>
      </c>
      <c r="U2">
        <v>0</v>
      </c>
      <c r="V2">
        <v>0</v>
      </c>
      <c r="X2">
        <f>_xlfn.STDEV.S(N2:N7)</f>
        <v>1.5491933384829668</v>
      </c>
      <c r="Y2">
        <v>0</v>
      </c>
      <c r="Z2">
        <v>0</v>
      </c>
      <c r="AA2">
        <v>0</v>
      </c>
    </row>
    <row r="3" spans="1:27" x14ac:dyDescent="0.25">
      <c r="B3" s="90">
        <v>4</v>
      </c>
      <c r="C3" s="55">
        <v>5</v>
      </c>
      <c r="D3" s="55">
        <v>2</v>
      </c>
      <c r="E3" s="91">
        <v>2</v>
      </c>
      <c r="H3" s="90">
        <f t="shared" si="0"/>
        <v>0.6454972243679028</v>
      </c>
      <c r="I3" s="55">
        <f t="shared" si="0"/>
        <v>1.2909944487358056</v>
      </c>
      <c r="J3" s="55">
        <f t="shared" si="0"/>
        <v>-1.1009637651263611</v>
      </c>
      <c r="K3" s="91">
        <f t="shared" si="0"/>
        <v>-0.6773488747516605</v>
      </c>
      <c r="N3" s="90">
        <v>1</v>
      </c>
      <c r="O3" s="55">
        <v>2</v>
      </c>
      <c r="P3" s="89">
        <v>-1.3333333333333335</v>
      </c>
      <c r="Q3" s="88">
        <v>-1.1666666666666665</v>
      </c>
      <c r="S3">
        <v>0</v>
      </c>
      <c r="T3">
        <f>_xlfn.STDEV.S(C2:C7)</f>
        <v>1.5491933384829668</v>
      </c>
      <c r="U3">
        <v>0</v>
      </c>
      <c r="V3">
        <v>0</v>
      </c>
      <c r="X3">
        <v>0</v>
      </c>
      <c r="Y3">
        <f>_xlfn.STDEV.S(O2:O7)</f>
        <v>1.5491933384829668</v>
      </c>
      <c r="Z3">
        <v>0</v>
      </c>
      <c r="AA3">
        <v>0</v>
      </c>
    </row>
    <row r="4" spans="1:27" x14ac:dyDescent="0.25">
      <c r="B4" s="90">
        <v>1</v>
      </c>
      <c r="C4" s="55">
        <v>2</v>
      </c>
      <c r="D4" s="55">
        <v>4</v>
      </c>
      <c r="E4" s="91">
        <v>5</v>
      </c>
      <c r="H4" s="90">
        <f t="shared" si="0"/>
        <v>-1.2909944487358056</v>
      </c>
      <c r="I4" s="55">
        <f t="shared" si="0"/>
        <v>-0.6454972243679028</v>
      </c>
      <c r="J4" s="55">
        <f t="shared" si="0"/>
        <v>0.55048188256318031</v>
      </c>
      <c r="K4" s="91">
        <f t="shared" si="0"/>
        <v>1.0644053746097524</v>
      </c>
      <c r="N4" s="90">
        <v>-2</v>
      </c>
      <c r="O4" s="55">
        <v>-1</v>
      </c>
      <c r="P4" s="89">
        <v>0.66666666666666652</v>
      </c>
      <c r="Q4" s="88">
        <v>1.8333333333333335</v>
      </c>
      <c r="S4">
        <v>0</v>
      </c>
      <c r="T4">
        <v>0</v>
      </c>
      <c r="U4">
        <f>_xlfn.STDEV.S(D2:D7)</f>
        <v>1.2110601416389963</v>
      </c>
      <c r="V4">
        <v>0</v>
      </c>
      <c r="X4">
        <v>0</v>
      </c>
      <c r="Y4">
        <v>0</v>
      </c>
      <c r="Z4">
        <f>_xlfn.STDEV.S(P2:P7)</f>
        <v>1.2110601416389968</v>
      </c>
      <c r="AA4">
        <v>0</v>
      </c>
    </row>
    <row r="5" spans="1:27" x14ac:dyDescent="0.25">
      <c r="B5" s="90">
        <v>2</v>
      </c>
      <c r="C5" s="55">
        <v>1</v>
      </c>
      <c r="D5" s="55">
        <v>5</v>
      </c>
      <c r="E5" s="91">
        <v>4</v>
      </c>
      <c r="H5" s="90">
        <f t="shared" si="0"/>
        <v>-0.6454972243679028</v>
      </c>
      <c r="I5" s="55">
        <f t="shared" si="0"/>
        <v>-1.2909944487358056</v>
      </c>
      <c r="J5" s="55">
        <f t="shared" si="0"/>
        <v>1.376204706407951</v>
      </c>
      <c r="K5" s="91">
        <f t="shared" si="0"/>
        <v>0.48382062482261473</v>
      </c>
      <c r="N5" s="90">
        <v>-1</v>
      </c>
      <c r="O5" s="55">
        <v>-2</v>
      </c>
      <c r="P5" s="89">
        <v>1.6666666666666665</v>
      </c>
      <c r="Q5" s="88">
        <v>0.83333333333333348</v>
      </c>
      <c r="S5">
        <v>0</v>
      </c>
      <c r="T5">
        <v>0</v>
      </c>
      <c r="U5">
        <v>0</v>
      </c>
      <c r="V5">
        <f>_xlfn.STDEV.S(E2:E7)</f>
        <v>1.7224014243685086</v>
      </c>
      <c r="X5">
        <v>0</v>
      </c>
      <c r="Y5">
        <v>0</v>
      </c>
      <c r="Z5">
        <v>0</v>
      </c>
      <c r="AA5">
        <f>_xlfn.STDEV.S(Q2:Q7)</f>
        <v>1.7224014243685084</v>
      </c>
    </row>
    <row r="6" spans="1:27" x14ac:dyDescent="0.25">
      <c r="B6" s="90">
        <v>4</v>
      </c>
      <c r="C6" s="55">
        <v>4</v>
      </c>
      <c r="D6" s="55">
        <v>3</v>
      </c>
      <c r="E6" s="91">
        <v>2</v>
      </c>
      <c r="H6" s="90">
        <f t="shared" si="0"/>
        <v>0.6454972243679028</v>
      </c>
      <c r="I6" s="55">
        <f t="shared" si="0"/>
        <v>0.6454972243679028</v>
      </c>
      <c r="J6" s="55">
        <f t="shared" si="0"/>
        <v>-0.27524094128159032</v>
      </c>
      <c r="K6" s="91">
        <f t="shared" si="0"/>
        <v>-0.6773488747516605</v>
      </c>
      <c r="N6" s="90">
        <v>1</v>
      </c>
      <c r="O6" s="55">
        <v>1</v>
      </c>
      <c r="P6" s="89">
        <v>-0.33333333333333348</v>
      </c>
      <c r="Q6" s="88">
        <v>-1.1666666666666665</v>
      </c>
      <c r="S6" s="82" t="str">
        <f ca="1">_xlfn.FORMULATEXT(S2)</f>
        <v>=STDEV.S(B2:B7)</v>
      </c>
      <c r="X6" t="str">
        <f ca="1">_xlfn.FORMULATEXT(X2)</f>
        <v>=STDEV.S(N2:N7)</v>
      </c>
    </row>
    <row r="7" spans="1:27" x14ac:dyDescent="0.25">
      <c r="B7" s="86">
        <v>2</v>
      </c>
      <c r="C7" s="77">
        <v>2</v>
      </c>
      <c r="D7" s="77">
        <v>4</v>
      </c>
      <c r="E7" s="87">
        <v>5</v>
      </c>
      <c r="H7" s="86">
        <f t="shared" si="0"/>
        <v>-0.6454972243679028</v>
      </c>
      <c r="I7" s="77">
        <f t="shared" si="0"/>
        <v>-0.6454972243679028</v>
      </c>
      <c r="J7" s="77">
        <f t="shared" si="0"/>
        <v>0.55048188256318031</v>
      </c>
      <c r="K7" s="87">
        <f t="shared" si="0"/>
        <v>1.0644053746097524</v>
      </c>
      <c r="N7" s="86">
        <v>-1</v>
      </c>
      <c r="O7" s="77">
        <v>-1</v>
      </c>
      <c r="P7" s="85">
        <v>0.66666666666666652</v>
      </c>
      <c r="Q7" s="84">
        <v>1.8333333333333335</v>
      </c>
    </row>
    <row r="8" spans="1:27" x14ac:dyDescent="0.25">
      <c r="H8" s="83" t="str">
        <f ca="1">_xlfn.FORMULATEXT(H2)</f>
        <v>=(B2-B$9)/B$10</v>
      </c>
      <c r="N8" s="82" t="str">
        <f ca="1">_xlfn.FORMULATEXT(N2)</f>
        <v>=B2:B7-AVERAGE(B2:B7)</v>
      </c>
      <c r="O8" s="55"/>
      <c r="P8" s="55"/>
      <c r="Q8" s="55"/>
    </row>
    <row r="9" spans="1:27" x14ac:dyDescent="0.25">
      <c r="A9" t="s">
        <v>116</v>
      </c>
      <c r="B9">
        <f>AVERAGE(B2:B7)</f>
        <v>3</v>
      </c>
      <c r="C9">
        <f>AVERAGE(C2:C7)</f>
        <v>3</v>
      </c>
      <c r="D9">
        <f>AVERAGE(D2:D7)</f>
        <v>3.3333333333333335</v>
      </c>
      <c r="E9">
        <f>AVERAGE(E2:E7)</f>
        <v>3.1666666666666665</v>
      </c>
    </row>
    <row r="10" spans="1:27" x14ac:dyDescent="0.25">
      <c r="A10" t="s">
        <v>115</v>
      </c>
      <c r="B10">
        <f>_xlfn.STDEV.S(B2:B7)</f>
        <v>1.5491933384829668</v>
      </c>
      <c r="C10">
        <f>_xlfn.STDEV.S(C2:C7)</f>
        <v>1.5491933384829668</v>
      </c>
      <c r="D10">
        <f>_xlfn.STDEV.S(D2:D7)</f>
        <v>1.2110601416389963</v>
      </c>
      <c r="E10">
        <f>_xlfn.STDEV.S(E2:E7)</f>
        <v>1.7224014243685086</v>
      </c>
    </row>
    <row r="12" spans="1:27" ht="15.75" thickBot="1" x14ac:dyDescent="0.3">
      <c r="A12" s="209" t="s">
        <v>114</v>
      </c>
      <c r="B12" s="209"/>
      <c r="C12" s="209"/>
      <c r="D12" s="209"/>
      <c r="E12" s="209"/>
      <c r="G12" s="209" t="s">
        <v>113</v>
      </c>
      <c r="H12" s="209"/>
      <c r="I12" s="209"/>
      <c r="J12" s="209"/>
      <c r="K12" s="209"/>
      <c r="M12" s="209" t="s">
        <v>112</v>
      </c>
      <c r="N12" s="209"/>
      <c r="O12" s="209"/>
      <c r="P12" s="209"/>
      <c r="Q12" s="209"/>
      <c r="T12" t="s">
        <v>111</v>
      </c>
    </row>
    <row r="13" spans="1:27" x14ac:dyDescent="0.25">
      <c r="A13" s="47"/>
      <c r="B13" s="47" t="s">
        <v>45</v>
      </c>
      <c r="C13" s="47" t="s">
        <v>43</v>
      </c>
      <c r="D13" s="47" t="s">
        <v>42</v>
      </c>
      <c r="E13" s="47" t="s">
        <v>41</v>
      </c>
      <c r="G13" s="47"/>
      <c r="H13" s="47" t="s">
        <v>45</v>
      </c>
      <c r="I13" s="47" t="s">
        <v>43</v>
      </c>
      <c r="J13" s="47" t="s">
        <v>42</v>
      </c>
      <c r="K13" s="47" t="s">
        <v>41</v>
      </c>
      <c r="M13" s="47"/>
      <c r="N13" s="47" t="s">
        <v>45</v>
      </c>
      <c r="O13" s="47" t="s">
        <v>43</v>
      </c>
      <c r="P13" s="47" t="s">
        <v>42</v>
      </c>
      <c r="Q13" s="47" t="s">
        <v>41</v>
      </c>
      <c r="T13" t="s">
        <v>110</v>
      </c>
    </row>
    <row r="14" spans="1:27" x14ac:dyDescent="0.25">
      <c r="A14" t="s">
        <v>45</v>
      </c>
      <c r="B14" s="80">
        <f>CORREL(B2:B7,B2:B7)</f>
        <v>0.99999999999999978</v>
      </c>
      <c r="C14" s="80">
        <f>B15</f>
        <v>0.83333333333333315</v>
      </c>
      <c r="D14" s="80">
        <f>B16</f>
        <v>-0.85280286542244155</v>
      </c>
      <c r="E14" s="80">
        <f>B17</f>
        <v>-0.97439119569462007</v>
      </c>
      <c r="G14" t="s">
        <v>45</v>
      </c>
      <c r="H14" s="80">
        <f>CORREL(H2:H7,H2:H7)</f>
        <v>1</v>
      </c>
      <c r="I14" s="80">
        <f>H15</f>
        <v>0.83333333333333315</v>
      </c>
      <c r="J14" s="80">
        <f>H16</f>
        <v>-0.85280286542244177</v>
      </c>
      <c r="K14" s="80">
        <f>H17</f>
        <v>-0.97439119569461963</v>
      </c>
      <c r="M14" t="s">
        <v>45</v>
      </c>
      <c r="N14" s="80">
        <f>CORREL(N2:N7,N2:N7)</f>
        <v>0.99999999999999978</v>
      </c>
      <c r="O14" s="80">
        <f>N15</f>
        <v>0.83333333333333315</v>
      </c>
      <c r="P14" s="80">
        <f>N16</f>
        <v>-0.85280286542244155</v>
      </c>
      <c r="Q14" s="80">
        <f>N17</f>
        <v>-0.97439119569461985</v>
      </c>
      <c r="T14" t="s">
        <v>109</v>
      </c>
    </row>
    <row r="15" spans="1:27" x14ac:dyDescent="0.25">
      <c r="A15" t="s">
        <v>43</v>
      </c>
      <c r="B15" s="80">
        <f>CORREL(B2:B7,C2:C7)</f>
        <v>0.83333333333333315</v>
      </c>
      <c r="C15" s="80">
        <v>1</v>
      </c>
      <c r="D15" s="80">
        <f>C16</f>
        <v>-0.95940322360024655</v>
      </c>
      <c r="E15" s="80">
        <f>C17</f>
        <v>-0.82448485789544756</v>
      </c>
      <c r="G15" t="s">
        <v>43</v>
      </c>
      <c r="H15" s="80">
        <f>CORREL(H2:H7,I2:I7)</f>
        <v>0.83333333333333315</v>
      </c>
      <c r="I15" s="80">
        <v>1</v>
      </c>
      <c r="J15" s="80">
        <f>I16</f>
        <v>-0.95940322360024688</v>
      </c>
      <c r="K15" s="80">
        <f>I17</f>
        <v>-0.82448485789544734</v>
      </c>
      <c r="M15" t="s">
        <v>43</v>
      </c>
      <c r="N15" s="80">
        <f>CORREL(N2:N7,O2:O7)</f>
        <v>0.83333333333333315</v>
      </c>
      <c r="O15" s="80">
        <v>1</v>
      </c>
      <c r="P15" s="80">
        <f>O16</f>
        <v>-0.95940322360024677</v>
      </c>
      <c r="Q15" s="80">
        <f>O17</f>
        <v>-0.82448485789544756</v>
      </c>
      <c r="T15" t="s">
        <v>108</v>
      </c>
    </row>
    <row r="16" spans="1:27" x14ac:dyDescent="0.25">
      <c r="A16" t="s">
        <v>42</v>
      </c>
      <c r="B16" s="80">
        <f>CORREL(B2:B7,D2:D7)</f>
        <v>-0.85280286542244155</v>
      </c>
      <c r="C16" s="80">
        <f>CORREL(C2:C7,D2:D7)</f>
        <v>-0.95940322360024655</v>
      </c>
      <c r="D16" s="80">
        <v>1</v>
      </c>
      <c r="E16" s="80">
        <f>D17</f>
        <v>0.83096360373077105</v>
      </c>
      <c r="G16" t="s">
        <v>42</v>
      </c>
      <c r="H16" s="80">
        <f>CORREL(H2:H7,J2:J7)</f>
        <v>-0.85280286542244177</v>
      </c>
      <c r="I16" s="80">
        <f>CORREL(I2:I7,J2:J7)</f>
        <v>-0.95940322360024688</v>
      </c>
      <c r="J16" s="80">
        <v>1</v>
      </c>
      <c r="K16" s="80">
        <f>J17</f>
        <v>0.83096360373077072</v>
      </c>
      <c r="M16" t="s">
        <v>42</v>
      </c>
      <c r="N16" s="80">
        <f>CORREL(N2:N7,P2:P7)</f>
        <v>-0.85280286542244155</v>
      </c>
      <c r="O16" s="80">
        <f>CORREL(O2:O7,P2:P7)</f>
        <v>-0.95940322360024677</v>
      </c>
      <c r="P16" s="80">
        <v>1</v>
      </c>
      <c r="Q16" s="80">
        <f>P17</f>
        <v>0.83096360373077094</v>
      </c>
      <c r="T16" t="s">
        <v>107</v>
      </c>
    </row>
    <row r="17" spans="1:37" ht="15.75" thickBot="1" x14ac:dyDescent="0.3">
      <c r="A17" s="45" t="s">
        <v>41</v>
      </c>
      <c r="B17" s="79">
        <f>CORREL(B2:B7,E2:E7)</f>
        <v>-0.97439119569462007</v>
      </c>
      <c r="C17" s="79">
        <f>CORREL(C2:C7,E2:E7)</f>
        <v>-0.82448485789544756</v>
      </c>
      <c r="D17" s="79">
        <f>CORREL(D2:D7,E2:E7)</f>
        <v>0.83096360373077105</v>
      </c>
      <c r="E17" s="79">
        <v>1</v>
      </c>
      <c r="G17" s="45" t="s">
        <v>41</v>
      </c>
      <c r="H17" s="79">
        <f>CORREL(H2:H7,K2:K7)</f>
        <v>-0.97439119569461963</v>
      </c>
      <c r="I17" s="79">
        <f>CORREL(I2:I7,K2:K7)</f>
        <v>-0.82448485789544734</v>
      </c>
      <c r="J17" s="79">
        <f>CORREL(J2:J7,K2:K7)</f>
        <v>0.83096360373077072</v>
      </c>
      <c r="K17" s="79">
        <v>1</v>
      </c>
      <c r="M17" s="45" t="s">
        <v>41</v>
      </c>
      <c r="N17" s="79">
        <f>CORREL(N2:N7,Q2:Q7)</f>
        <v>-0.97439119569461985</v>
      </c>
      <c r="O17" s="79">
        <f>CORREL(O2:O7,Q2:Q7)</f>
        <v>-0.82448485789544756</v>
      </c>
      <c r="P17" s="79">
        <f>CORREL(P2:P7,Q2:Q7)</f>
        <v>0.83096360373077094</v>
      </c>
      <c r="Q17" s="79">
        <v>1</v>
      </c>
      <c r="T17" t="s">
        <v>106</v>
      </c>
    </row>
    <row r="19" spans="1:37" ht="18.75" thickBot="1" x14ac:dyDescent="0.4">
      <c r="A19" s="209" t="s">
        <v>105</v>
      </c>
      <c r="B19" s="209"/>
      <c r="C19" s="209"/>
      <c r="D19" s="209"/>
      <c r="E19" s="209"/>
      <c r="G19" s="209" t="s">
        <v>104</v>
      </c>
      <c r="H19" s="209"/>
      <c r="I19" s="209"/>
      <c r="J19" s="209"/>
      <c r="K19" s="209"/>
      <c r="M19" s="209" t="s">
        <v>103</v>
      </c>
      <c r="N19" s="209"/>
      <c r="O19" s="209"/>
      <c r="P19" s="209"/>
      <c r="Q19" s="209"/>
      <c r="S19" t="s">
        <v>102</v>
      </c>
      <c r="X19" t="s">
        <v>57</v>
      </c>
      <c r="AC19" t="s">
        <v>101</v>
      </c>
      <c r="AE19" s="1" t="s">
        <v>100</v>
      </c>
      <c r="AH19" t="s">
        <v>47</v>
      </c>
    </row>
    <row r="20" spans="1:37" x14ac:dyDescent="0.25">
      <c r="A20" s="47"/>
      <c r="B20" s="47" t="s">
        <v>45</v>
      </c>
      <c r="C20" s="47" t="s">
        <v>43</v>
      </c>
      <c r="D20" s="47" t="s">
        <v>42</v>
      </c>
      <c r="E20" s="47" t="s">
        <v>41</v>
      </c>
      <c r="G20" s="47"/>
      <c r="H20" s="47" t="s">
        <v>45</v>
      </c>
      <c r="I20" s="47" t="s">
        <v>43</v>
      </c>
      <c r="J20" s="47" t="s">
        <v>42</v>
      </c>
      <c r="K20" s="47" t="s">
        <v>41</v>
      </c>
      <c r="M20" s="47"/>
      <c r="N20" s="47" t="s">
        <v>45</v>
      </c>
      <c r="O20" s="47" t="s">
        <v>43</v>
      </c>
      <c r="P20" s="47" t="s">
        <v>42</v>
      </c>
      <c r="Q20" s="47" t="s">
        <v>41</v>
      </c>
      <c r="S20" cm="1">
        <f t="array" ref="S20:S25">(B2:B7)-AVERAGE(B2:B7)</f>
        <v>2</v>
      </c>
      <c r="T20" cm="1">
        <f t="array" ref="T20:T25">C2:C7-AVERAGE(C2:C7)</f>
        <v>1</v>
      </c>
      <c r="U20" cm="1">
        <f t="array" ref="U20:U25">D2:D7-AVERAGE(D2:D7)</f>
        <v>-1.3333333333333335</v>
      </c>
      <c r="V20" cm="1">
        <f t="array" ref="V20:V25">E2:E7-AVERAGE(E2:E7)</f>
        <v>-2.1666666666666665</v>
      </c>
      <c r="X20">
        <f>_xlfn.STDEV.S(B2:B7)</f>
        <v>1.5491933384829668</v>
      </c>
      <c r="Y20">
        <v>0</v>
      </c>
      <c r="Z20">
        <v>0</v>
      </c>
      <c r="AA20">
        <v>0</v>
      </c>
      <c r="AC20" cm="1">
        <f t="array" ref="AC20:AF25">MMULT(S20:V25,MINVERSE(X20:AA23))</f>
        <v>1.2909944487358056</v>
      </c>
      <c r="AD20">
        <v>0.6454972243679028</v>
      </c>
      <c r="AE20">
        <v>-1.1009637651263611</v>
      </c>
      <c r="AF20">
        <v>-1.257933624538798</v>
      </c>
      <c r="AH20" s="80" cm="1">
        <f t="array" ref="AH20:AK23">MMULT(MINVERSE(X20:AA23),MMULT(B21:E24,MINVERSE(X20:AA23)))</f>
        <v>0.99999999999999989</v>
      </c>
      <c r="AI20" s="80">
        <v>0.83333333333333326</v>
      </c>
      <c r="AJ20" s="80">
        <v>-0.85280286542244199</v>
      </c>
      <c r="AK20" s="80">
        <v>-0.97439119569461996</v>
      </c>
    </row>
    <row r="21" spans="1:37" x14ac:dyDescent="0.25">
      <c r="A21" t="s">
        <v>45</v>
      </c>
      <c r="B21" s="81">
        <f>_xlfn.VAR.S('Fig.3.7.1'!$B$2:$B$7)</f>
        <v>2.4</v>
      </c>
      <c r="C21" s="81">
        <f>B22</f>
        <v>2</v>
      </c>
      <c r="D21" s="81">
        <f>B23</f>
        <v>-1.6</v>
      </c>
      <c r="E21" s="81">
        <f>B24</f>
        <v>-2.6000000000000005</v>
      </c>
      <c r="G21" t="s">
        <v>45</v>
      </c>
      <c r="H21" s="80">
        <f>_xlfn.VAR.S('Fig.3.7.1'!$H$2:$H$7)</f>
        <v>1</v>
      </c>
      <c r="I21" s="80">
        <f>H22</f>
        <v>0.83333333333333326</v>
      </c>
      <c r="J21" s="80">
        <f>H23</f>
        <v>-0.85280286542244199</v>
      </c>
      <c r="K21" s="80">
        <f>H24</f>
        <v>-0.97439119569461974</v>
      </c>
      <c r="M21" t="s">
        <v>45</v>
      </c>
      <c r="N21" s="81">
        <f>_xlfn.VAR.S($N$2:$N$7)</f>
        <v>2.4</v>
      </c>
      <c r="O21" s="81">
        <f ca="1">N22</f>
        <v>2</v>
      </c>
      <c r="P21" s="81">
        <f ca="1">N23</f>
        <v>-1.6</v>
      </c>
      <c r="Q21" s="81">
        <f ca="1">N24</f>
        <v>-2.6</v>
      </c>
      <c r="S21">
        <v>1</v>
      </c>
      <c r="T21">
        <v>2</v>
      </c>
      <c r="U21">
        <v>-1.3333333333333335</v>
      </c>
      <c r="V21">
        <v>-1.1666666666666665</v>
      </c>
      <c r="X21">
        <v>0</v>
      </c>
      <c r="Y21">
        <f>_xlfn.STDEV.S(C2:C7)</f>
        <v>1.5491933384829668</v>
      </c>
      <c r="Z21">
        <v>0</v>
      </c>
      <c r="AA21">
        <v>0</v>
      </c>
      <c r="AC21">
        <v>0.6454972243679028</v>
      </c>
      <c r="AD21">
        <v>1.2909944487358056</v>
      </c>
      <c r="AE21">
        <v>-1.1009637651263611</v>
      </c>
      <c r="AF21">
        <v>-0.67734887475166039</v>
      </c>
      <c r="AH21" s="80">
        <v>0.83333333333333326</v>
      </c>
      <c r="AI21" s="80">
        <v>0.99999999999999989</v>
      </c>
      <c r="AJ21" s="80">
        <v>-0.95940322360024699</v>
      </c>
      <c r="AK21" s="80">
        <v>-0.82448485789544756</v>
      </c>
    </row>
    <row r="22" spans="1:37" x14ac:dyDescent="0.25">
      <c r="A22" t="s">
        <v>43</v>
      </c>
      <c r="B22" s="81">
        <f>_xlfn.COVARIANCE.S(B2:B7,C2:C7)</f>
        <v>2</v>
      </c>
      <c r="C22" s="81">
        <f>_xlfn.VAR.S('Fig.3.7.1'!$C$2:$C$7)</f>
        <v>2.4</v>
      </c>
      <c r="D22" s="81">
        <f>C23</f>
        <v>-1.7999999999999996</v>
      </c>
      <c r="E22" s="81">
        <f>C24</f>
        <v>-2.2000000000000002</v>
      </c>
      <c r="G22" t="s">
        <v>43</v>
      </c>
      <c r="H22" s="80">
        <f>_xlfn.COVARIANCE.S(H2:H7,I2:I7)</f>
        <v>0.83333333333333326</v>
      </c>
      <c r="I22" s="80">
        <f>_xlfn.VAR.S('Fig.3.7.1'!$I$2:$I$7)</f>
        <v>1</v>
      </c>
      <c r="J22" s="80">
        <f>I23</f>
        <v>-0.9594032236002471</v>
      </c>
      <c r="K22" s="80">
        <f>I24</f>
        <v>-0.82448485789544745</v>
      </c>
      <c r="M22" t="s">
        <v>43</v>
      </c>
      <c r="N22" s="81">
        <f ca="1">_xlfn.COVARIANCE.S(N2:N8,O2:O8)</f>
        <v>2</v>
      </c>
      <c r="O22" s="81">
        <f>_xlfn.VAR.S($O$2:$O$7)</f>
        <v>2.4</v>
      </c>
      <c r="P22" s="81">
        <f>O23</f>
        <v>-1.8</v>
      </c>
      <c r="Q22" s="81">
        <f>O24</f>
        <v>-2.2000000000000002</v>
      </c>
      <c r="S22">
        <v>-2</v>
      </c>
      <c r="T22">
        <v>-1</v>
      </c>
      <c r="U22">
        <v>0.66666666666666652</v>
      </c>
      <c r="V22">
        <v>1.8333333333333335</v>
      </c>
      <c r="X22">
        <v>0</v>
      </c>
      <c r="Y22">
        <v>0</v>
      </c>
      <c r="Z22">
        <f>_xlfn.STDEV.S(D2:D7)</f>
        <v>1.2110601416389963</v>
      </c>
      <c r="AA22">
        <v>0</v>
      </c>
      <c r="AC22">
        <v>-1.2909944487358056</v>
      </c>
      <c r="AD22">
        <v>-0.6454972243679028</v>
      </c>
      <c r="AE22">
        <v>0.55048188256318031</v>
      </c>
      <c r="AF22">
        <v>1.0644053746097524</v>
      </c>
      <c r="AH22" s="80">
        <v>-0.8528028654224421</v>
      </c>
      <c r="AI22" s="80">
        <v>-0.9594032236002471</v>
      </c>
      <c r="AJ22" s="80">
        <v>0.99999999999999978</v>
      </c>
      <c r="AK22" s="80">
        <v>0.83096360373077138</v>
      </c>
    </row>
    <row r="23" spans="1:37" x14ac:dyDescent="0.25">
      <c r="A23" t="s">
        <v>42</v>
      </c>
      <c r="B23" s="81">
        <f>_xlfn.COVARIANCE.S(B2:B7,D2:D7)</f>
        <v>-1.6</v>
      </c>
      <c r="C23" s="81">
        <f>_xlfn.COVARIANCE.S(C2:C7,D2:D7)</f>
        <v>-1.7999999999999996</v>
      </c>
      <c r="D23" s="81">
        <f>_xlfn.VAR.S('Fig.3.7.1'!$D$2:$D$7)</f>
        <v>1.4666666666666657</v>
      </c>
      <c r="E23" s="81">
        <f>D24</f>
        <v>1.7333333333333336</v>
      </c>
      <c r="G23" t="s">
        <v>42</v>
      </c>
      <c r="H23" s="80">
        <f>_xlfn.COVARIANCE.S(H2:H7,J2:J7)</f>
        <v>-0.85280286542244199</v>
      </c>
      <c r="I23" s="80">
        <f>_xlfn.COVARIANCE.S(I2:I7,J2:J7)</f>
        <v>-0.9594032236002471</v>
      </c>
      <c r="J23" s="80">
        <f>_xlfn.VAR.S('Fig.3.7.1'!$J$2:$J$7)</f>
        <v>1.0000000000000004</v>
      </c>
      <c r="K23" s="80">
        <f>J24</f>
        <v>0.83096360373077105</v>
      </c>
      <c r="M23" t="s">
        <v>42</v>
      </c>
      <c r="N23" s="81">
        <f ca="1">_xlfn.COVARIANCE.S(N2:N8,P2:P8)</f>
        <v>-1.6</v>
      </c>
      <c r="O23" s="81">
        <f>_xlfn.COVARIANCE.S(O2:O8,P2:P8)</f>
        <v>-1.8</v>
      </c>
      <c r="P23" s="81">
        <f>_xlfn.VAR.S($P$2:$P$7)</f>
        <v>1.466666666666667</v>
      </c>
      <c r="Q23" s="81">
        <f>P24</f>
        <v>1.7333333333333332</v>
      </c>
      <c r="S23">
        <v>-1</v>
      </c>
      <c r="T23">
        <v>-2</v>
      </c>
      <c r="U23">
        <v>1.6666666666666665</v>
      </c>
      <c r="V23">
        <v>0.83333333333333348</v>
      </c>
      <c r="X23">
        <v>0</v>
      </c>
      <c r="Y23">
        <v>0</v>
      </c>
      <c r="Z23">
        <v>0</v>
      </c>
      <c r="AA23">
        <f>_xlfn.STDEV.S(E2:E7)</f>
        <v>1.7224014243685086</v>
      </c>
      <c r="AC23">
        <v>-0.6454972243679028</v>
      </c>
      <c r="AD23">
        <v>-1.2909944487358056</v>
      </c>
      <c r="AE23">
        <v>1.376204706407951</v>
      </c>
      <c r="AF23">
        <v>0.48382062482261473</v>
      </c>
      <c r="AH23" s="80">
        <v>-0.97439119569461985</v>
      </c>
      <c r="AI23" s="80">
        <v>-0.82448485789544756</v>
      </c>
      <c r="AJ23" s="80">
        <v>0.83096360373077127</v>
      </c>
      <c r="AK23" s="80">
        <v>0.99999999999999989</v>
      </c>
    </row>
    <row r="24" spans="1:37" ht="15.75" thickBot="1" x14ac:dyDescent="0.3">
      <c r="A24" s="45" t="s">
        <v>41</v>
      </c>
      <c r="B24" s="78">
        <f>_xlfn.COVARIANCE.S(B2:B7,E2:E7)</f>
        <v>-2.6000000000000005</v>
      </c>
      <c r="C24" s="78">
        <f>_xlfn.COVARIANCE.S(C2:C7,E2:E7)</f>
        <v>-2.2000000000000002</v>
      </c>
      <c r="D24" s="78">
        <f>_xlfn.COVARIANCE.S(D2:D7,E2:E7)</f>
        <v>1.7333333333333336</v>
      </c>
      <c r="E24" s="78">
        <f>_xlfn.VAR.S('Fig.3.7.1'!$E$2:$E$7)</f>
        <v>2.9666666666666672</v>
      </c>
      <c r="G24" s="45" t="s">
        <v>41</v>
      </c>
      <c r="H24" s="79">
        <f>_xlfn.COVARIANCE.S(H2:H7,K2:K7)</f>
        <v>-0.97439119569461974</v>
      </c>
      <c r="I24" s="79">
        <f>_xlfn.COVARIANCE.S(I2:I7,K2:K7)</f>
        <v>-0.82448485789544745</v>
      </c>
      <c r="J24" s="79">
        <f>_xlfn.COVARIANCE.S(J2:J7,K2:K7)</f>
        <v>0.83096360373077105</v>
      </c>
      <c r="K24" s="79">
        <f>_xlfn.VAR.S('Fig.3.7.1'!$K$2:$K$7)</f>
        <v>0.99999999999999967</v>
      </c>
      <c r="M24" s="45" t="s">
        <v>41</v>
      </c>
      <c r="N24" s="78">
        <f ca="1">_xlfn.COVARIANCE.S(N2:N8,Q2:Q8)</f>
        <v>-2.6</v>
      </c>
      <c r="O24" s="78">
        <f>_xlfn.COVARIANCE.S(O2:O8,Q2:Q8)</f>
        <v>-2.2000000000000002</v>
      </c>
      <c r="P24" s="78">
        <f>_xlfn.COVARIANCE.S(P2:P8,Q2:Q8)</f>
        <v>1.7333333333333332</v>
      </c>
      <c r="Q24" s="78">
        <f>_xlfn.VAR.S($Q$2:$Q$7)</f>
        <v>2.9666666666666663</v>
      </c>
      <c r="S24">
        <v>1</v>
      </c>
      <c r="T24">
        <v>1</v>
      </c>
      <c r="U24">
        <v>-0.33333333333333348</v>
      </c>
      <c r="V24">
        <v>-1.1666666666666665</v>
      </c>
      <c r="AC24">
        <v>0.6454972243679028</v>
      </c>
      <c r="AD24">
        <v>0.6454972243679028</v>
      </c>
      <c r="AE24">
        <v>-0.27524094128159038</v>
      </c>
      <c r="AF24">
        <v>-0.67734887475166039</v>
      </c>
      <c r="AH24" t="str">
        <f ca="1">_xlfn.FORMULATEXT(AH20)</f>
        <v>=MMULT(MINVERSE(X20:AA23),MMULT(B21:E24,MINVERSE(X20:AA23)))</v>
      </c>
    </row>
    <row r="25" spans="1:37" x14ac:dyDescent="0.25">
      <c r="S25">
        <v>-1</v>
      </c>
      <c r="T25">
        <v>-1</v>
      </c>
      <c r="U25">
        <v>0.66666666666666652</v>
      </c>
      <c r="V25">
        <v>1.8333333333333335</v>
      </c>
      <c r="AC25">
        <v>-0.6454972243679028</v>
      </c>
      <c r="AD25">
        <v>-0.6454972243679028</v>
      </c>
      <c r="AE25">
        <v>0.55048188256318031</v>
      </c>
      <c r="AF25">
        <v>1.0644053746097524</v>
      </c>
    </row>
    <row r="26" spans="1:37" x14ac:dyDescent="0.25">
      <c r="B26" s="207" t="s">
        <v>99</v>
      </c>
      <c r="C26" s="207"/>
      <c r="D26" s="207"/>
      <c r="E26" s="207"/>
      <c r="H26" s="208" t="s">
        <v>98</v>
      </c>
      <c r="I26" s="208"/>
      <c r="J26" s="208"/>
      <c r="K26" s="208"/>
      <c r="N26" t="s">
        <v>97</v>
      </c>
      <c r="S26" t="str">
        <f ca="1">_xlfn.FORMULATEXT(S20)</f>
        <v>=(B2:B7)-AVERAGE(B2:B7)</v>
      </c>
      <c r="X26" t="str">
        <f ca="1">_xlfn.FORMULATEXT(X20)</f>
        <v>=STDEV.S(B2:B7)</v>
      </c>
      <c r="AC26" t="str">
        <f ca="1">_xlfn.FORMULATEXT(AC20)</f>
        <v>=MMULT(S20:V25,MINVERSE(X20:AA23))</v>
      </c>
    </row>
    <row r="27" spans="1:37" x14ac:dyDescent="0.25">
      <c r="B27" s="76" cm="1">
        <f t="array" ref="B27:E34">[2]!SPECTRAL(B14:E17)</f>
        <v>-0.5032371830755642</v>
      </c>
      <c r="C27" s="75">
        <v>-0.47048671213652926</v>
      </c>
      <c r="D27" s="75">
        <v>-0.243658749043834</v>
      </c>
      <c r="E27" s="74">
        <v>-0.68266024147266968</v>
      </c>
      <c r="H27" s="76" cm="1">
        <f t="array" ref="H27:K34">[2]!SPECTRAL(H14:K17)</f>
        <v>-0.5032371830755642</v>
      </c>
      <c r="I27" s="75">
        <v>-0.47048671213652904</v>
      </c>
      <c r="J27" s="75">
        <v>-0.24365874904384999</v>
      </c>
      <c r="K27" s="74">
        <v>-0.68266024147266369</v>
      </c>
      <c r="N27" s="76" cm="1">
        <f t="array" ref="N27:Q34">[2]!SPECTRAL(N14:Q17)</f>
        <v>-0.5032371830755642</v>
      </c>
      <c r="O27" s="75">
        <v>-0.47048671213652904</v>
      </c>
      <c r="P27" s="75">
        <v>-0.24365874904384333</v>
      </c>
      <c r="Q27" s="74">
        <v>-0.68266024147266613</v>
      </c>
    </row>
    <row r="28" spans="1:37" x14ac:dyDescent="0.25">
      <c r="B28" s="70">
        <v>-0.49706368677524931</v>
      </c>
      <c r="C28" s="69">
        <v>0.52494067347369577</v>
      </c>
      <c r="D28" s="69">
        <v>0.65216346299898376</v>
      </c>
      <c r="E28" s="68">
        <v>-0.22813986532728905</v>
      </c>
      <c r="H28" s="70">
        <v>-0.49706368677524942</v>
      </c>
      <c r="I28" s="69">
        <v>0.52494067347369422</v>
      </c>
      <c r="J28" s="69">
        <v>0.65216346299897843</v>
      </c>
      <c r="K28" s="68">
        <v>-0.22813986532730696</v>
      </c>
      <c r="N28" s="70">
        <v>-0.49706368677524948</v>
      </c>
      <c r="O28" s="69">
        <v>0.52494067347369466</v>
      </c>
      <c r="P28" s="69">
        <v>0.65216346299898043</v>
      </c>
      <c r="Q28" s="68">
        <v>-0.22813986532729938</v>
      </c>
      <c r="V28" t="s">
        <v>96</v>
      </c>
      <c r="W28" s="48" t="s">
        <v>52</v>
      </c>
    </row>
    <row r="29" spans="1:37" ht="18" x14ac:dyDescent="0.35">
      <c r="B29" s="70">
        <v>0.50068616032788082</v>
      </c>
      <c r="C29" s="69">
        <v>-0.47589397007767997</v>
      </c>
      <c r="D29" s="69">
        <v>0.66700648915363692</v>
      </c>
      <c r="E29" s="68">
        <v>-0.2791785119359389</v>
      </c>
      <c r="H29" s="70">
        <v>0.5006861603278806</v>
      </c>
      <c r="I29" s="69">
        <v>-0.4758939700776818</v>
      </c>
      <c r="J29" s="69">
        <v>0.66700648915363003</v>
      </c>
      <c r="K29" s="68">
        <v>-0.279178511935959</v>
      </c>
      <c r="N29" s="70">
        <v>0.5006861603278806</v>
      </c>
      <c r="O29" s="69">
        <v>-0.47589397007768119</v>
      </c>
      <c r="P29" s="69">
        <v>0.66700648915363281</v>
      </c>
      <c r="Q29" s="68">
        <v>-0.27917851193595017</v>
      </c>
      <c r="V29" t="s">
        <v>95</v>
      </c>
      <c r="W29" t="s">
        <v>49</v>
      </c>
      <c r="Y29" t="s">
        <v>94</v>
      </c>
    </row>
    <row r="30" spans="1:37" ht="18" x14ac:dyDescent="0.35">
      <c r="B30" s="64">
        <v>0.49899238242250904</v>
      </c>
      <c r="C30" s="63">
        <v>0.52593200347539726</v>
      </c>
      <c r="D30" s="63">
        <v>-0.26535933179465676</v>
      </c>
      <c r="E30" s="62">
        <v>-0.63559936676664297</v>
      </c>
      <c r="H30" s="64">
        <v>0.49899238242250893</v>
      </c>
      <c r="I30" s="63">
        <v>0.52593200347539781</v>
      </c>
      <c r="J30" s="63">
        <v>-0.26535933179467169</v>
      </c>
      <c r="K30" s="62">
        <v>-0.63559936676663453</v>
      </c>
      <c r="N30" s="64">
        <v>0.49899238242250904</v>
      </c>
      <c r="O30" s="63">
        <v>0.52593200347539748</v>
      </c>
      <c r="P30" s="63">
        <v>-0.26535933179466553</v>
      </c>
      <c r="Q30" s="62">
        <v>-0.63559936676663831</v>
      </c>
      <c r="V30" t="s">
        <v>93</v>
      </c>
    </row>
    <row r="31" spans="1:37" ht="18" x14ac:dyDescent="0.35">
      <c r="B31" s="26">
        <v>3.637762391131194</v>
      </c>
      <c r="C31" s="39">
        <v>0</v>
      </c>
      <c r="D31" s="39">
        <v>0</v>
      </c>
      <c r="E31" s="25">
        <v>0</v>
      </c>
      <c r="H31" s="26">
        <v>3.6377623911311936</v>
      </c>
      <c r="I31" s="39">
        <v>0</v>
      </c>
      <c r="J31" s="39">
        <v>0</v>
      </c>
      <c r="K31" s="25">
        <v>0</v>
      </c>
      <c r="N31" s="26">
        <v>3.6377623911311936</v>
      </c>
      <c r="O31" s="39">
        <v>0</v>
      </c>
      <c r="P31" s="39">
        <v>0</v>
      </c>
      <c r="Q31" s="25">
        <v>0</v>
      </c>
      <c r="V31" t="s">
        <v>92</v>
      </c>
    </row>
    <row r="32" spans="1:37" x14ac:dyDescent="0.25">
      <c r="B32" s="22">
        <v>0</v>
      </c>
      <c r="C32">
        <v>0.29683287478026671</v>
      </c>
      <c r="D32">
        <v>0</v>
      </c>
      <c r="E32" s="21">
        <v>0</v>
      </c>
      <c r="H32" s="22">
        <v>0</v>
      </c>
      <c r="I32">
        <v>0.29683287478026643</v>
      </c>
      <c r="J32">
        <v>0</v>
      </c>
      <c r="K32" s="21">
        <v>0</v>
      </c>
      <c r="N32" s="22">
        <v>0</v>
      </c>
      <c r="O32">
        <v>0.29683287478026638</v>
      </c>
      <c r="P32">
        <v>0</v>
      </c>
      <c r="Q32" s="21">
        <v>0</v>
      </c>
    </row>
    <row r="33" spans="2:20" x14ac:dyDescent="0.25">
      <c r="B33" s="22">
        <v>0</v>
      </c>
      <c r="C33">
        <v>0</v>
      </c>
      <c r="D33">
        <v>4.2889677449111416E-2</v>
      </c>
      <c r="E33" s="21">
        <v>0</v>
      </c>
      <c r="H33" s="22">
        <v>0</v>
      </c>
      <c r="I33">
        <v>0</v>
      </c>
      <c r="J33">
        <v>4.2889677449111346E-2</v>
      </c>
      <c r="K33" s="21">
        <v>0</v>
      </c>
      <c r="N33" s="22">
        <v>0</v>
      </c>
      <c r="O33">
        <v>0</v>
      </c>
      <c r="P33">
        <v>4.2889677449111208E-2</v>
      </c>
      <c r="Q33" s="21">
        <v>0</v>
      </c>
      <c r="T33" t="s">
        <v>91</v>
      </c>
    </row>
    <row r="34" spans="2:20" x14ac:dyDescent="0.25">
      <c r="B34" s="17">
        <v>0</v>
      </c>
      <c r="C34" s="30">
        <v>0</v>
      </c>
      <c r="D34" s="30">
        <v>0</v>
      </c>
      <c r="E34" s="16">
        <v>2.2515056639427593E-2</v>
      </c>
      <c r="H34" s="17">
        <v>0</v>
      </c>
      <c r="I34" s="30">
        <v>0</v>
      </c>
      <c r="J34" s="30">
        <v>0</v>
      </c>
      <c r="K34" s="16">
        <v>2.2515056639428162E-2</v>
      </c>
      <c r="N34" s="17">
        <v>0</v>
      </c>
      <c r="O34" s="30">
        <v>0</v>
      </c>
      <c r="P34" s="30">
        <v>0</v>
      </c>
      <c r="Q34" s="16">
        <v>2.2515056639428026E-2</v>
      </c>
      <c r="T34" t="s">
        <v>90</v>
      </c>
    </row>
    <row r="35" spans="2:20" x14ac:dyDescent="0.25">
      <c r="B35" t="str">
        <f ca="1">_xlfn.FORMULATEXT(B27)</f>
        <v>=SPECTRAL(B14:E17)</v>
      </c>
      <c r="H35" t="str">
        <f ca="1">_xlfn.FORMULATEXT(H27)</f>
        <v>=SPECTRAL(H14:K17)</v>
      </c>
      <c r="N35" t="str">
        <f ca="1">_xlfn.FORMULATEXT(N27)</f>
        <v>=SPECTRAL(N14:Q17)</v>
      </c>
      <c r="T35" t="s">
        <v>89</v>
      </c>
    </row>
    <row r="37" spans="2:20" x14ac:dyDescent="0.25">
      <c r="B37" s="207" t="s">
        <v>88</v>
      </c>
      <c r="C37" s="207"/>
      <c r="D37" s="207"/>
      <c r="E37" s="207"/>
      <c r="F37" s="55"/>
      <c r="H37" s="207" t="s">
        <v>87</v>
      </c>
      <c r="I37" s="207"/>
      <c r="J37" s="207"/>
      <c r="K37" s="207"/>
      <c r="N37" t="s">
        <v>86</v>
      </c>
    </row>
    <row r="38" spans="2:20" x14ac:dyDescent="0.25">
      <c r="B38" s="73" cm="1">
        <f t="array" ref="B38:E45">[2]!SPECTRAL(B21:E24)</f>
        <v>-0.51810244509786019</v>
      </c>
      <c r="C38" s="72">
        <v>-0.38947147186111053</v>
      </c>
      <c r="D38" s="72">
        <v>-0.47163134874515089</v>
      </c>
      <c r="E38" s="71">
        <v>-0.5978676273815049</v>
      </c>
      <c r="H38" s="76" cm="1">
        <f t="array" ref="H38:K45">[2]!SPECTRAL(H21:K24)</f>
        <v>-0.5032371830755642</v>
      </c>
      <c r="I38" s="75">
        <v>-0.47048671213652904</v>
      </c>
      <c r="J38" s="75">
        <v>-0.24365874904384577</v>
      </c>
      <c r="K38" s="74">
        <v>-0.68266024147266458</v>
      </c>
      <c r="N38" s="73" cm="1">
        <f t="array" aca="1" ref="N38:Q45" ca="1">[2]!SPECTRAL(N21:Q24)</f>
        <v>-0.51810244509785996</v>
      </c>
      <c r="O38" s="72">
        <f ca="1"/>
        <v>-0.38947147186111075</v>
      </c>
      <c r="P38" s="72">
        <f ca="1"/>
        <v>-0.47163134874515178</v>
      </c>
      <c r="Q38" s="71">
        <f ca="1"/>
        <v>-0.59786762738149934</v>
      </c>
    </row>
    <row r="39" spans="2:20" x14ac:dyDescent="0.25">
      <c r="B39" s="67">
        <v>-0.49925617556474255</v>
      </c>
      <c r="C39" s="66">
        <v>0.63869476492034771</v>
      </c>
      <c r="D39" s="66">
        <v>0.46763672711038884</v>
      </c>
      <c r="E39" s="65">
        <v>-0.35231826504070574</v>
      </c>
      <c r="H39" s="70">
        <v>-0.49706368677524948</v>
      </c>
      <c r="I39" s="69">
        <v>0.52494067347369455</v>
      </c>
      <c r="J39" s="69">
        <v>0.65216346299897965</v>
      </c>
      <c r="K39" s="68">
        <v>-0.22813986532730249</v>
      </c>
      <c r="N39" s="67">
        <f ca="1"/>
        <v>-0.49925617556474255</v>
      </c>
      <c r="O39" s="66">
        <f ca="1"/>
        <v>0.63869476492034716</v>
      </c>
      <c r="P39" s="66">
        <f ca="1"/>
        <v>0.46763672711038851</v>
      </c>
      <c r="Q39" s="65">
        <f ca="1"/>
        <v>-0.3523182650407114</v>
      </c>
    </row>
    <row r="40" spans="2:20" x14ac:dyDescent="0.25">
      <c r="B40" s="67">
        <v>0.39170923774579092</v>
      </c>
      <c r="C40" s="66">
        <v>-0.43491168123944945</v>
      </c>
      <c r="D40" s="66">
        <v>0.60834740547119448</v>
      </c>
      <c r="E40" s="65">
        <v>-0.53603091034244732</v>
      </c>
      <c r="H40" s="70">
        <v>0.5006861603278806</v>
      </c>
      <c r="I40" s="69">
        <v>-0.47589397007768119</v>
      </c>
      <c r="J40" s="69">
        <v>0.66700648915363181</v>
      </c>
      <c r="K40" s="68">
        <v>-0.27917851193595367</v>
      </c>
      <c r="N40" s="67">
        <f ca="1"/>
        <v>0.39170923774579086</v>
      </c>
      <c r="O40" s="66">
        <f ca="1"/>
        <v>-0.43491168123945018</v>
      </c>
      <c r="P40" s="66">
        <f ca="1"/>
        <v>0.60834740547119326</v>
      </c>
      <c r="Q40" s="65">
        <f ca="1"/>
        <v>-0.53603091034245332</v>
      </c>
    </row>
    <row r="41" spans="2:20" x14ac:dyDescent="0.25">
      <c r="B41" s="61">
        <v>0.57347798615875156</v>
      </c>
      <c r="C41" s="60">
        <v>0.50123128333251254</v>
      </c>
      <c r="D41" s="60">
        <v>-0.4345033907747784</v>
      </c>
      <c r="E41" s="59">
        <v>-0.48072549693704048</v>
      </c>
      <c r="H41" s="64">
        <v>0.49899238242250893</v>
      </c>
      <c r="I41" s="63">
        <v>0.52593200347539748</v>
      </c>
      <c r="J41" s="63">
        <v>-0.26535933179466797</v>
      </c>
      <c r="K41" s="62">
        <v>-0.63559936676663664</v>
      </c>
      <c r="N41" s="61">
        <f ca="1"/>
        <v>0.57347798615875156</v>
      </c>
      <c r="O41" s="60">
        <f ca="1"/>
        <v>0.50123128333251232</v>
      </c>
      <c r="P41" s="60">
        <f ca="1"/>
        <v>-0.43450339077477895</v>
      </c>
      <c r="Q41" s="59">
        <f ca="1"/>
        <v>-0.48072549693703631</v>
      </c>
    </row>
    <row r="42" spans="2:20" x14ac:dyDescent="0.25">
      <c r="B42" s="26">
        <v>8.4148141067871141</v>
      </c>
      <c r="C42" s="39">
        <v>0</v>
      </c>
      <c r="D42" s="39">
        <v>0</v>
      </c>
      <c r="E42" s="25">
        <v>0</v>
      </c>
      <c r="H42" s="26">
        <v>3.6377623911311936</v>
      </c>
      <c r="I42" s="39">
        <v>0</v>
      </c>
      <c r="J42" s="39">
        <v>0</v>
      </c>
      <c r="K42" s="25">
        <v>0</v>
      </c>
      <c r="N42" s="26">
        <f ca="1"/>
        <v>8.4148141067871141</v>
      </c>
      <c r="O42" s="39">
        <f ca="1"/>
        <v>0</v>
      </c>
      <c r="P42" s="39">
        <f ca="1"/>
        <v>0</v>
      </c>
      <c r="Q42" s="25">
        <f ca="1"/>
        <v>0</v>
      </c>
    </row>
    <row r="43" spans="2:20" x14ac:dyDescent="0.25">
      <c r="B43" s="22">
        <v>0</v>
      </c>
      <c r="C43">
        <v>0.67959958156260625</v>
      </c>
      <c r="D43">
        <v>0</v>
      </c>
      <c r="E43" s="21">
        <v>0</v>
      </c>
      <c r="H43" s="22">
        <v>0</v>
      </c>
      <c r="I43">
        <v>0.29683287478026632</v>
      </c>
      <c r="J43">
        <v>0</v>
      </c>
      <c r="K43" s="21">
        <v>0</v>
      </c>
      <c r="N43" s="22">
        <f ca="1"/>
        <v>0</v>
      </c>
      <c r="O43">
        <f ca="1"/>
        <v>0.67959958156260647</v>
      </c>
      <c r="P43">
        <f ca="1"/>
        <v>0</v>
      </c>
      <c r="Q43" s="21">
        <f ca="1"/>
        <v>0</v>
      </c>
    </row>
    <row r="44" spans="2:20" x14ac:dyDescent="0.25">
      <c r="B44" s="22">
        <v>0</v>
      </c>
      <c r="C44">
        <v>0</v>
      </c>
      <c r="D44">
        <v>8.5424379898125846E-2</v>
      </c>
      <c r="E44" s="21">
        <v>0</v>
      </c>
      <c r="H44" s="22">
        <v>0</v>
      </c>
      <c r="I44">
        <v>0</v>
      </c>
      <c r="J44">
        <v>4.2889677449111187E-2</v>
      </c>
      <c r="K44" s="21">
        <v>0</v>
      </c>
      <c r="N44" s="22">
        <f ca="1"/>
        <v>0</v>
      </c>
      <c r="O44">
        <f ca="1"/>
        <v>0</v>
      </c>
      <c r="P44">
        <f ca="1"/>
        <v>8.5424379898126568E-2</v>
      </c>
      <c r="Q44" s="21">
        <f ca="1"/>
        <v>0</v>
      </c>
    </row>
    <row r="45" spans="2:20" x14ac:dyDescent="0.25">
      <c r="B45" s="17">
        <v>0</v>
      </c>
      <c r="C45" s="30">
        <v>0</v>
      </c>
      <c r="D45" s="30">
        <v>0</v>
      </c>
      <c r="E45" s="16">
        <v>5.3495265085481303E-2</v>
      </c>
      <c r="H45" s="17">
        <v>0</v>
      </c>
      <c r="I45" s="30">
        <v>0</v>
      </c>
      <c r="J45" s="30">
        <v>0</v>
      </c>
      <c r="K45" s="16">
        <v>2.251505663942794E-2</v>
      </c>
      <c r="N45" s="17">
        <f ca="1"/>
        <v>0</v>
      </c>
      <c r="O45" s="30">
        <f ca="1"/>
        <v>0</v>
      </c>
      <c r="P45" s="30">
        <f ca="1"/>
        <v>0</v>
      </c>
      <c r="Q45" s="16">
        <f ca="1"/>
        <v>5.3495265085482004E-2</v>
      </c>
    </row>
    <row r="46" spans="2:20" x14ac:dyDescent="0.25">
      <c r="B46" t="str">
        <f ca="1">_xlfn.FORMULATEXT(B38)</f>
        <v>=SPECTRAL(B21:E24)</v>
      </c>
      <c r="H46" t="str">
        <f ca="1">_xlfn.FORMULATEXT(H38)</f>
        <v>=SPECTRAL(H21:K24)</v>
      </c>
      <c r="N46" t="str">
        <f ca="1">_xlfn.FORMULATEXT(N38)</f>
        <v>=SPECTRAL(N21:Q24)</v>
      </c>
    </row>
  </sheetData>
  <mergeCells count="15">
    <mergeCell ref="S1:V1"/>
    <mergeCell ref="X1:AA1"/>
    <mergeCell ref="A19:E19"/>
    <mergeCell ref="G19:K19"/>
    <mergeCell ref="M19:Q19"/>
    <mergeCell ref="M12:Q12"/>
    <mergeCell ref="N1:Q1"/>
    <mergeCell ref="B26:E26"/>
    <mergeCell ref="B37:E37"/>
    <mergeCell ref="H37:K37"/>
    <mergeCell ref="H26:K26"/>
    <mergeCell ref="H1:K1"/>
    <mergeCell ref="B1:E1"/>
    <mergeCell ref="A12:E12"/>
    <mergeCell ref="G12:K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A710B-F311-4A81-B7B8-566B3C01EF0E}">
  <dimension ref="A1:AG49"/>
  <sheetViews>
    <sheetView tabSelected="1" zoomScale="80" zoomScaleNormal="80" workbookViewId="0">
      <selection activeCell="Q35" sqref="Q35"/>
    </sheetView>
  </sheetViews>
  <sheetFormatPr defaultRowHeight="15" x14ac:dyDescent="0.25"/>
  <cols>
    <col min="20" max="20" width="10.42578125" customWidth="1"/>
    <col min="21" max="21" width="9.28515625" customWidth="1"/>
    <col min="24" max="25" width="10.28515625" bestFit="1" customWidth="1"/>
    <col min="26" max="26" width="9.28515625" bestFit="1" customWidth="1"/>
    <col min="27" max="27" width="8.85546875" customWidth="1"/>
    <col min="29" max="29" width="8.42578125" customWidth="1"/>
  </cols>
  <sheetData>
    <row r="1" spans="1:33" ht="18.75" thickBot="1" x14ac:dyDescent="0.4">
      <c r="B1" s="139" t="s">
        <v>78</v>
      </c>
      <c r="C1" s="138"/>
      <c r="D1" s="138"/>
      <c r="E1" s="137"/>
      <c r="J1" s="136" t="s">
        <v>156</v>
      </c>
      <c r="K1" s="135"/>
      <c r="L1" s="135"/>
      <c r="M1" s="134"/>
      <c r="Q1" s="136" t="s">
        <v>155</v>
      </c>
      <c r="R1" s="135"/>
      <c r="S1" s="135"/>
      <c r="T1" s="134"/>
      <c r="X1" s="203" t="s">
        <v>85</v>
      </c>
      <c r="Y1" s="138" t="s">
        <v>84</v>
      </c>
      <c r="Z1" s="138" t="s">
        <v>83</v>
      </c>
      <c r="AA1" s="138" t="s">
        <v>82</v>
      </c>
      <c r="AB1" s="137" t="s">
        <v>81</v>
      </c>
    </row>
    <row r="2" spans="1:33" x14ac:dyDescent="0.25">
      <c r="B2" s="133">
        <f t="shared" ref="B2:B7" si="0">(Y2-Y$8)</f>
        <v>2</v>
      </c>
      <c r="C2" s="132">
        <f t="shared" ref="C2:E7" si="1">Z2-Z$8</f>
        <v>1</v>
      </c>
      <c r="D2" s="132">
        <f t="shared" si="1"/>
        <v>-1.3333333333333335</v>
      </c>
      <c r="E2" s="131">
        <f t="shared" si="1"/>
        <v>-2.1666666666666665</v>
      </c>
      <c r="F2" s="2"/>
      <c r="G2" s="2"/>
      <c r="H2" s="2"/>
      <c r="J2" s="130">
        <f t="shared" ref="J2:M7" si="2">B2*(1/(COUNT($Y$2:$Y$7)-1))</f>
        <v>0.4</v>
      </c>
      <c r="K2" s="129">
        <f t="shared" si="2"/>
        <v>0.2</v>
      </c>
      <c r="L2" s="129">
        <f t="shared" si="2"/>
        <v>-0.26666666666666672</v>
      </c>
      <c r="M2" s="128">
        <f t="shared" si="2"/>
        <v>-0.43333333333333335</v>
      </c>
      <c r="N2" s="2"/>
      <c r="O2" s="2"/>
      <c r="P2" s="2"/>
      <c r="Q2" s="127">
        <f>B2*SQRT(1/(COUNT($Y$2:$Y$7)-1))</f>
        <v>0.89442719099991586</v>
      </c>
      <c r="R2" s="126">
        <f t="shared" ref="Q2:T7" si="3">C2*SQRT(1/(COUNT($Y$2:$Y$7)-1))</f>
        <v>0.44721359549995793</v>
      </c>
      <c r="S2" s="126">
        <f t="shared" si="3"/>
        <v>-0.59628479399994394</v>
      </c>
      <c r="T2" s="125">
        <f t="shared" si="3"/>
        <v>-0.96896279024990872</v>
      </c>
      <c r="U2" s="2"/>
      <c r="V2" s="2"/>
      <c r="X2" s="156" t="s">
        <v>75</v>
      </c>
      <c r="Y2">
        <v>5</v>
      </c>
      <c r="Z2">
        <v>4</v>
      </c>
      <c r="AA2">
        <v>2</v>
      </c>
      <c r="AB2" s="155">
        <v>1</v>
      </c>
    </row>
    <row r="3" spans="1:33" x14ac:dyDescent="0.25">
      <c r="B3" s="114">
        <f t="shared" si="0"/>
        <v>1</v>
      </c>
      <c r="C3" s="113">
        <f t="shared" si="1"/>
        <v>2</v>
      </c>
      <c r="D3" s="113">
        <f t="shared" si="1"/>
        <v>-1.3333333333333335</v>
      </c>
      <c r="E3" s="112">
        <f t="shared" si="1"/>
        <v>-1.1666666666666665</v>
      </c>
      <c r="F3" s="2"/>
      <c r="G3" s="2"/>
      <c r="H3" s="2"/>
      <c r="J3" s="111">
        <f t="shared" si="2"/>
        <v>0.2</v>
      </c>
      <c r="K3" s="110">
        <f t="shared" si="2"/>
        <v>0.4</v>
      </c>
      <c r="L3" s="110">
        <f t="shared" si="2"/>
        <v>-0.26666666666666672</v>
      </c>
      <c r="M3" s="109">
        <f t="shared" si="2"/>
        <v>-0.23333333333333331</v>
      </c>
      <c r="N3" s="2"/>
      <c r="O3" s="2"/>
      <c r="P3" s="2"/>
      <c r="Q3" s="108">
        <f t="shared" si="3"/>
        <v>0.44721359549995793</v>
      </c>
      <c r="R3" s="107">
        <f t="shared" si="3"/>
        <v>0.89442719099991586</v>
      </c>
      <c r="S3" s="107">
        <f t="shared" si="3"/>
        <v>-0.59628479399994394</v>
      </c>
      <c r="T3" s="106">
        <f t="shared" si="3"/>
        <v>-0.52174919474995085</v>
      </c>
      <c r="U3" s="2"/>
      <c r="V3" s="2"/>
      <c r="X3" s="156" t="s">
        <v>72</v>
      </c>
      <c r="Y3">
        <v>4</v>
      </c>
      <c r="Z3">
        <v>5</v>
      </c>
      <c r="AA3">
        <v>2</v>
      </c>
      <c r="AB3" s="155">
        <v>2</v>
      </c>
    </row>
    <row r="4" spans="1:33" x14ac:dyDescent="0.25">
      <c r="B4" s="114">
        <f t="shared" si="0"/>
        <v>-2</v>
      </c>
      <c r="C4" s="113">
        <f t="shared" si="1"/>
        <v>-1</v>
      </c>
      <c r="D4" s="113">
        <f t="shared" si="1"/>
        <v>0.66666666666666652</v>
      </c>
      <c r="E4" s="112">
        <f t="shared" si="1"/>
        <v>1.8333333333333335</v>
      </c>
      <c r="F4" s="2"/>
      <c r="G4" s="2"/>
      <c r="H4" s="2"/>
      <c r="J4" s="111">
        <f t="shared" si="2"/>
        <v>-0.4</v>
      </c>
      <c r="K4" s="110">
        <f t="shared" si="2"/>
        <v>-0.2</v>
      </c>
      <c r="L4" s="110">
        <f t="shared" si="2"/>
        <v>0.1333333333333333</v>
      </c>
      <c r="M4" s="109">
        <f t="shared" si="2"/>
        <v>0.3666666666666667</v>
      </c>
      <c r="N4" s="2"/>
      <c r="O4" s="2"/>
      <c r="P4" s="2"/>
      <c r="Q4" s="108">
        <f t="shared" si="3"/>
        <v>-0.89442719099991586</v>
      </c>
      <c r="R4" s="107">
        <f t="shared" si="3"/>
        <v>-0.44721359549995793</v>
      </c>
      <c r="S4" s="107">
        <f t="shared" si="3"/>
        <v>0.29814239699997186</v>
      </c>
      <c r="T4" s="106">
        <f t="shared" si="3"/>
        <v>0.81989159174992299</v>
      </c>
      <c r="U4" s="199"/>
      <c r="V4" s="199"/>
      <c r="X4" s="156" t="s">
        <v>70</v>
      </c>
      <c r="Y4">
        <v>1</v>
      </c>
      <c r="Z4">
        <v>2</v>
      </c>
      <c r="AA4">
        <v>4</v>
      </c>
      <c r="AB4" s="155">
        <v>5</v>
      </c>
    </row>
    <row r="5" spans="1:33" x14ac:dyDescent="0.25">
      <c r="B5" s="114">
        <f t="shared" si="0"/>
        <v>-1</v>
      </c>
      <c r="C5" s="113">
        <f t="shared" si="1"/>
        <v>-2</v>
      </c>
      <c r="D5" s="113">
        <f t="shared" si="1"/>
        <v>1.6666666666666665</v>
      </c>
      <c r="E5" s="112">
        <f t="shared" si="1"/>
        <v>0.83333333333333348</v>
      </c>
      <c r="F5" s="2"/>
      <c r="G5" s="2"/>
      <c r="H5" s="2"/>
      <c r="J5" s="111">
        <f t="shared" si="2"/>
        <v>-0.2</v>
      </c>
      <c r="K5" s="110">
        <f t="shared" si="2"/>
        <v>-0.4</v>
      </c>
      <c r="L5" s="110">
        <f t="shared" si="2"/>
        <v>0.33333333333333331</v>
      </c>
      <c r="M5" s="109">
        <f t="shared" si="2"/>
        <v>0.16666666666666671</v>
      </c>
      <c r="N5" s="2"/>
      <c r="O5" s="2"/>
      <c r="P5" s="2"/>
      <c r="Q5" s="108">
        <f t="shared" si="3"/>
        <v>-0.44721359549995793</v>
      </c>
      <c r="R5" s="107">
        <f t="shared" si="3"/>
        <v>-0.89442719099991586</v>
      </c>
      <c r="S5" s="107">
        <f t="shared" si="3"/>
        <v>0.74535599249992979</v>
      </c>
      <c r="T5" s="106">
        <f t="shared" si="3"/>
        <v>0.372677996249965</v>
      </c>
      <c r="U5" s="199"/>
      <c r="V5" s="199"/>
      <c r="X5" s="156" t="s">
        <v>68</v>
      </c>
      <c r="Y5">
        <v>2</v>
      </c>
      <c r="Z5">
        <v>1</v>
      </c>
      <c r="AA5">
        <v>5</v>
      </c>
      <c r="AB5" s="155">
        <v>4</v>
      </c>
    </row>
    <row r="6" spans="1:33" x14ac:dyDescent="0.25">
      <c r="B6" s="114">
        <f t="shared" si="0"/>
        <v>1</v>
      </c>
      <c r="C6" s="113">
        <f t="shared" si="1"/>
        <v>1</v>
      </c>
      <c r="D6" s="113">
        <f t="shared" si="1"/>
        <v>-0.33333333333333348</v>
      </c>
      <c r="E6" s="112">
        <f t="shared" si="1"/>
        <v>-1.1666666666666665</v>
      </c>
      <c r="F6" s="2"/>
      <c r="G6" s="2"/>
      <c r="H6" s="2"/>
      <c r="J6" s="111">
        <f t="shared" si="2"/>
        <v>0.2</v>
      </c>
      <c r="K6" s="110">
        <f t="shared" si="2"/>
        <v>0.2</v>
      </c>
      <c r="L6" s="110">
        <f t="shared" si="2"/>
        <v>-6.6666666666666693E-2</v>
      </c>
      <c r="M6" s="109">
        <f t="shared" si="2"/>
        <v>-0.23333333333333331</v>
      </c>
      <c r="N6" s="2"/>
      <c r="O6" s="2"/>
      <c r="P6" s="2"/>
      <c r="Q6" s="108">
        <f t="shared" si="3"/>
        <v>0.44721359549995793</v>
      </c>
      <c r="R6" s="107">
        <f t="shared" si="3"/>
        <v>0.44721359549995793</v>
      </c>
      <c r="S6" s="107">
        <f t="shared" si="3"/>
        <v>-0.14907119849998604</v>
      </c>
      <c r="T6" s="106">
        <f t="shared" si="3"/>
        <v>-0.52174919474995085</v>
      </c>
      <c r="U6" s="199"/>
      <c r="V6" s="199"/>
      <c r="X6" s="156" t="s">
        <v>66</v>
      </c>
      <c r="Y6">
        <v>4</v>
      </c>
      <c r="Z6">
        <v>4</v>
      </c>
      <c r="AA6">
        <v>3</v>
      </c>
      <c r="AB6" s="155">
        <v>2</v>
      </c>
    </row>
    <row r="7" spans="1:33" ht="15.75" thickBot="1" x14ac:dyDescent="0.3">
      <c r="B7" s="105">
        <f t="shared" si="0"/>
        <v>-1</v>
      </c>
      <c r="C7" s="104">
        <f t="shared" si="1"/>
        <v>-1</v>
      </c>
      <c r="D7" s="104">
        <f t="shared" si="1"/>
        <v>0.66666666666666652</v>
      </c>
      <c r="E7" s="103">
        <f t="shared" si="1"/>
        <v>1.8333333333333335</v>
      </c>
      <c r="F7" s="2"/>
      <c r="G7" s="2"/>
      <c r="H7" s="2"/>
      <c r="J7" s="102">
        <f t="shared" si="2"/>
        <v>-0.2</v>
      </c>
      <c r="K7" s="101">
        <f t="shared" si="2"/>
        <v>-0.2</v>
      </c>
      <c r="L7" s="101">
        <f t="shared" si="2"/>
        <v>0.1333333333333333</v>
      </c>
      <c r="M7" s="100">
        <f t="shared" si="2"/>
        <v>0.3666666666666667</v>
      </c>
      <c r="N7" s="2"/>
      <c r="O7" s="2"/>
      <c r="P7" s="2"/>
      <c r="Q7" s="99">
        <f t="shared" si="3"/>
        <v>-0.44721359549995793</v>
      </c>
      <c r="R7" s="98">
        <f t="shared" si="3"/>
        <v>-0.44721359549995793</v>
      </c>
      <c r="S7" s="98">
        <f t="shared" si="3"/>
        <v>0.29814239699997186</v>
      </c>
      <c r="T7" s="97">
        <f t="shared" si="3"/>
        <v>0.81989159174992299</v>
      </c>
      <c r="U7" s="199"/>
      <c r="V7" s="199"/>
      <c r="X7" s="156" t="s">
        <v>64</v>
      </c>
      <c r="Y7">
        <v>2</v>
      </c>
      <c r="Z7">
        <v>2</v>
      </c>
      <c r="AA7">
        <v>4</v>
      </c>
      <c r="AB7" s="155">
        <v>5</v>
      </c>
    </row>
    <row r="8" spans="1:33" ht="15.75" thickBot="1" x14ac:dyDescent="0.3">
      <c r="A8" s="139" t="s">
        <v>63</v>
      </c>
      <c r="B8" s="198">
        <f>AVERAGE(B2:B7)</f>
        <v>0</v>
      </c>
      <c r="C8" s="198">
        <f>AVERAGE(C2:C7)</f>
        <v>0</v>
      </c>
      <c r="D8" s="198">
        <f>AVERAGE(D2:D7)</f>
        <v>-1.4802973661668753E-16</v>
      </c>
      <c r="E8" s="197">
        <f>AVERAGE(E2:E7)</f>
        <v>0</v>
      </c>
      <c r="F8" s="2" t="str">
        <f ca="1">_xlfn.FORMULATEXT(B8)</f>
        <v>=AVERAGE(B2:B7)</v>
      </c>
      <c r="G8" s="2"/>
      <c r="H8" s="2"/>
      <c r="I8" s="139" t="s">
        <v>63</v>
      </c>
      <c r="J8" s="201">
        <f>AVERAGE(J2:J7)</f>
        <v>0</v>
      </c>
      <c r="K8" s="201">
        <f>AVERAGE(K2:K7)</f>
        <v>0</v>
      </c>
      <c r="L8" s="201">
        <f>AVERAGE(L2:L7)</f>
        <v>-3.7007434154171883E-17</v>
      </c>
      <c r="M8" s="200">
        <f>AVERAGE(M2:M7)</f>
        <v>0</v>
      </c>
      <c r="N8" s="199"/>
      <c r="O8" s="199"/>
      <c r="P8" s="202" t="s">
        <v>63</v>
      </c>
      <c r="Q8" s="201">
        <f>AVERAGE(Q2:Q7)</f>
        <v>0</v>
      </c>
      <c r="R8" s="201">
        <f>AVERAGE(R2:R7)</f>
        <v>0</v>
      </c>
      <c r="S8" s="201">
        <f>AVERAGE(S2:S7)</f>
        <v>0</v>
      </c>
      <c r="T8" s="200">
        <f>AVERAGE(T2:T7)</f>
        <v>0</v>
      </c>
      <c r="U8" s="199"/>
      <c r="V8" s="199"/>
      <c r="X8" s="139" t="s">
        <v>63</v>
      </c>
      <c r="Y8" s="198">
        <f>AVERAGE(Y2:Y7)</f>
        <v>3</v>
      </c>
      <c r="Z8" s="198">
        <f>AVERAGE(Z2:Z7)</f>
        <v>3</v>
      </c>
      <c r="AA8" s="198">
        <f>AVERAGE(AA2:AA7)</f>
        <v>3.3333333333333335</v>
      </c>
      <c r="AB8" s="197">
        <f>AVERAGE(AB2:AB7)</f>
        <v>3.1666666666666665</v>
      </c>
    </row>
    <row r="9" spans="1:33" ht="15.75" thickBot="1" x14ac:dyDescent="0.3">
      <c r="A9" s="43" t="s">
        <v>154</v>
      </c>
      <c r="B9" t="str">
        <f ca="1">_xlfn.FORMULATEXT(B2)</f>
        <v>=(Y2-Y$8)</v>
      </c>
      <c r="I9" s="43" t="s">
        <v>153</v>
      </c>
      <c r="J9" s="54" t="str">
        <f ca="1">_xlfn.FORMULATEXT(J2)</f>
        <v>=B2*(1/(COUNT($Y$2:$Y$7)-1))</v>
      </c>
      <c r="K9" s="54"/>
      <c r="L9" s="54"/>
      <c r="M9" s="54"/>
      <c r="N9" s="54"/>
      <c r="O9" s="54"/>
      <c r="P9" s="196" t="s">
        <v>152</v>
      </c>
      <c r="Q9" s="54" t="str">
        <f ca="1">_xlfn.FORMULATEXT(Q2)</f>
        <v>=B2*SQRT(1/(COUNT($Y$2:$Y$7)-1))</v>
      </c>
      <c r="R9" s="54"/>
      <c r="S9" s="54"/>
      <c r="T9" s="54"/>
      <c r="U9" s="54"/>
      <c r="V9" s="54"/>
      <c r="X9" s="152"/>
      <c r="Y9" s="46" t="str">
        <f ca="1">_xlfn.FORMULATEXT(Y8)</f>
        <v>=AVERAGE(Y2:Y7)</v>
      </c>
      <c r="Z9" s="45"/>
      <c r="AA9" s="45"/>
      <c r="AB9" s="195"/>
    </row>
    <row r="10" spans="1:33" ht="15.75" thickBot="1" x14ac:dyDescent="0.3">
      <c r="A10" s="43"/>
      <c r="I10" s="43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Y10" s="2"/>
    </row>
    <row r="11" spans="1:33" ht="18.75" thickBot="1" x14ac:dyDescent="0.4">
      <c r="A11" s="43"/>
      <c r="B11" s="139" t="s">
        <v>151</v>
      </c>
      <c r="C11" s="138"/>
      <c r="D11" s="138"/>
      <c r="E11" s="137"/>
      <c r="I11" s="43"/>
      <c r="J11" s="139" t="s">
        <v>150</v>
      </c>
      <c r="K11" s="138"/>
      <c r="L11" s="138"/>
      <c r="M11" s="137"/>
      <c r="Q11" s="139" t="s">
        <v>149</v>
      </c>
      <c r="R11" s="138"/>
      <c r="S11" s="138"/>
      <c r="T11" s="137"/>
      <c r="X11" s="139"/>
      <c r="Y11" s="138"/>
      <c r="Z11" s="138"/>
      <c r="AA11" s="137"/>
      <c r="AD11" s="185" t="s">
        <v>148</v>
      </c>
      <c r="AE11" s="138"/>
      <c r="AF11" s="138"/>
      <c r="AG11" s="137"/>
    </row>
    <row r="12" spans="1:33" x14ac:dyDescent="0.25">
      <c r="A12" s="43"/>
      <c r="B12" s="124" cm="1">
        <f t="array" ref="B12:E15">1/5*MMULT(TRANSPOSE(B2:E7),B2:E7)</f>
        <v>2.4000000000000004</v>
      </c>
      <c r="C12" s="123">
        <v>2</v>
      </c>
      <c r="D12" s="123">
        <v>-1.6</v>
      </c>
      <c r="E12" s="122">
        <v>-2.6000000000000005</v>
      </c>
      <c r="I12" s="43"/>
      <c r="J12" s="124" cm="1">
        <f t="array" ref="J12:M15">5*MMULT(TRANSPOSE(J2:M7),J2:M7)</f>
        <v>2.4000000000000012</v>
      </c>
      <c r="K12" s="123">
        <v>2.0000000000000009</v>
      </c>
      <c r="L12" s="123">
        <v>-1.6000000000000003</v>
      </c>
      <c r="M12" s="122">
        <v>-2.6</v>
      </c>
      <c r="Q12" s="124" cm="1">
        <f t="array" ref="Q12:T15">MMULT(TRANSPOSE(Q2:T7),Q2:T7)</f>
        <v>2.4</v>
      </c>
      <c r="R12" s="123">
        <v>1.9999999999999998</v>
      </c>
      <c r="S12" s="123">
        <v>-1.5999999999999999</v>
      </c>
      <c r="T12" s="122">
        <v>-2.5999999999999996</v>
      </c>
      <c r="X12" s="194" cm="1">
        <f t="array" ref="X12:AA15">MMULT(TRANSPOSE(B2:E7),B2:E7)</f>
        <v>12</v>
      </c>
      <c r="Y12" s="193">
        <v>10</v>
      </c>
      <c r="Z12" s="193">
        <v>-8</v>
      </c>
      <c r="AA12" s="192">
        <v>-13.000000000000002</v>
      </c>
      <c r="AD12" s="194" cm="1">
        <f t="array" ref="AD12:AG15">MMULT(B28:E31,MMULT((B35:E38)^2,TRANSPOSE(B28:E31)))</f>
        <v>12.000000000000005</v>
      </c>
      <c r="AE12" s="193">
        <v>10</v>
      </c>
      <c r="AF12" s="193">
        <v>-8.0000000000000018</v>
      </c>
      <c r="AG12" s="192">
        <v>-12.999999999999996</v>
      </c>
    </row>
    <row r="13" spans="1:33" x14ac:dyDescent="0.25">
      <c r="A13" s="43"/>
      <c r="B13" s="121">
        <v>2</v>
      </c>
      <c r="C13" s="120">
        <v>2.4000000000000004</v>
      </c>
      <c r="D13" s="120">
        <v>-1.7999999999999998</v>
      </c>
      <c r="E13" s="119">
        <v>-2.2000000000000002</v>
      </c>
      <c r="I13" s="43"/>
      <c r="J13" s="121">
        <v>2.0000000000000009</v>
      </c>
      <c r="K13" s="120">
        <v>2.4000000000000004</v>
      </c>
      <c r="L13" s="120">
        <v>-1.8000000000000005</v>
      </c>
      <c r="M13" s="119">
        <v>-2.2000000000000002</v>
      </c>
      <c r="Q13" s="121">
        <v>1.9999999999999998</v>
      </c>
      <c r="R13" s="120">
        <v>2.4000000000000004</v>
      </c>
      <c r="S13" s="120">
        <v>-1.7999999999999998</v>
      </c>
      <c r="T13" s="119">
        <v>-2.2000000000000002</v>
      </c>
      <c r="X13" s="191">
        <v>10</v>
      </c>
      <c r="Y13" s="190">
        <v>12</v>
      </c>
      <c r="Z13" s="190">
        <v>-8.9999999999999982</v>
      </c>
      <c r="AA13" s="189">
        <v>-11</v>
      </c>
      <c r="AD13" s="191">
        <v>10</v>
      </c>
      <c r="AE13" s="190">
        <v>11.999999999999998</v>
      </c>
      <c r="AF13" s="190">
        <v>-9.0000000000000018</v>
      </c>
      <c r="AG13" s="189">
        <v>-10.999999999999998</v>
      </c>
    </row>
    <row r="14" spans="1:33" x14ac:dyDescent="0.25">
      <c r="A14" s="43"/>
      <c r="B14" s="121">
        <v>-1.6</v>
      </c>
      <c r="C14" s="120">
        <v>-1.7999999999999998</v>
      </c>
      <c r="D14" s="120">
        <v>1.466666666666667</v>
      </c>
      <c r="E14" s="119">
        <v>1.7333333333333336</v>
      </c>
      <c r="I14" s="43"/>
      <c r="J14" s="121">
        <v>-1.6000000000000003</v>
      </c>
      <c r="K14" s="120">
        <v>-1.8000000000000005</v>
      </c>
      <c r="L14" s="120">
        <v>1.4666666666666672</v>
      </c>
      <c r="M14" s="119">
        <v>1.7333333333333334</v>
      </c>
      <c r="Q14" s="121">
        <v>-1.5999999999999999</v>
      </c>
      <c r="R14" s="120">
        <v>-1.7999999999999998</v>
      </c>
      <c r="S14" s="120">
        <v>1.4666666666666661</v>
      </c>
      <c r="T14" s="119">
        <v>1.7333333333333332</v>
      </c>
      <c r="X14" s="191">
        <v>-8</v>
      </c>
      <c r="Y14" s="190">
        <v>-8.9999999999999982</v>
      </c>
      <c r="Z14" s="190">
        <v>7.3333333333333348</v>
      </c>
      <c r="AA14" s="189">
        <v>8.6666666666666679</v>
      </c>
      <c r="AD14" s="191">
        <v>-8.0000000000000018</v>
      </c>
      <c r="AE14" s="190">
        <v>-9.0000000000000036</v>
      </c>
      <c r="AF14" s="190">
        <v>7.3333333333333277</v>
      </c>
      <c r="AG14" s="189">
        <v>8.6666666666666661</v>
      </c>
    </row>
    <row r="15" spans="1:33" ht="15.75" thickBot="1" x14ac:dyDescent="0.3">
      <c r="A15" s="43"/>
      <c r="B15" s="117">
        <v>-2.6000000000000005</v>
      </c>
      <c r="C15" s="116">
        <v>-2.2000000000000002</v>
      </c>
      <c r="D15" s="116">
        <v>1.7333333333333336</v>
      </c>
      <c r="E15" s="115">
        <v>2.9666666666666668</v>
      </c>
      <c r="I15" s="43"/>
      <c r="J15" s="117">
        <v>-2.6</v>
      </c>
      <c r="K15" s="116">
        <v>-2.2000000000000002</v>
      </c>
      <c r="L15" s="116">
        <v>1.7333333333333334</v>
      </c>
      <c r="M15" s="115">
        <v>2.9666666666666668</v>
      </c>
      <c r="Q15" s="117">
        <v>-2.5999999999999996</v>
      </c>
      <c r="R15" s="116">
        <v>-2.2000000000000002</v>
      </c>
      <c r="S15" s="116">
        <v>1.7333333333333332</v>
      </c>
      <c r="T15" s="115">
        <v>2.9666666666666668</v>
      </c>
      <c r="X15" s="188">
        <v>-13.000000000000002</v>
      </c>
      <c r="Y15" s="187">
        <v>-11</v>
      </c>
      <c r="Z15" s="187">
        <v>8.6666666666666679</v>
      </c>
      <c r="AA15" s="186">
        <v>14.833333333333332</v>
      </c>
      <c r="AD15" s="188">
        <v>-12.999999999999996</v>
      </c>
      <c r="AE15" s="187">
        <v>-11</v>
      </c>
      <c r="AF15" s="187">
        <v>8.6666666666666661</v>
      </c>
      <c r="AG15" s="186">
        <v>14.833333333333334</v>
      </c>
    </row>
    <row r="16" spans="1:33" x14ac:dyDescent="0.25">
      <c r="A16" s="43"/>
      <c r="B16" t="str">
        <f ca="1">_xlfn.FORMULATEXT(B12)</f>
        <v>=1/5*MMULT(TRANSPOSE(B2:E7),B2:E7)</v>
      </c>
      <c r="I16" s="43"/>
      <c r="J16" t="str">
        <f ca="1">_xlfn.FORMULATEXT(J12)</f>
        <v>=5*MMULT(TRANSPOSE(J2:M7),J2:M7)</v>
      </c>
      <c r="Q16" t="str">
        <f ca="1">_xlfn.FORMULATEXT(Q12)</f>
        <v>=MMULT(TRANSPOSE(Q2:T7),Q2:T7)</v>
      </c>
      <c r="X16" t="str">
        <f ca="1">_xlfn.FORMULATEXT(X12)</f>
        <v>=MMULT(TRANSPOSE(B2:E7),B2:E7)</v>
      </c>
      <c r="AD16" t="str">
        <f ca="1">_xlfn.FORMULATEXT(AD12)</f>
        <v>=MMULT(B28:E31,MMULT((B35:E38)^2,TRANSPOSE(B28:E31)))</v>
      </c>
    </row>
    <row r="17" spans="1:33" ht="15.75" thickBot="1" x14ac:dyDescent="0.3">
      <c r="A17" s="43"/>
      <c r="I17" s="43"/>
      <c r="J17" s="54"/>
      <c r="K17" s="54"/>
      <c r="L17" s="54"/>
      <c r="M17" s="54"/>
      <c r="Q17" s="54"/>
      <c r="R17" s="54"/>
      <c r="S17" s="54"/>
      <c r="T17" s="54"/>
      <c r="U17" s="54"/>
      <c r="V17" s="54"/>
    </row>
    <row r="18" spans="1:33" ht="18.75" thickBot="1" x14ac:dyDescent="0.4">
      <c r="A18" s="43"/>
      <c r="B18" s="139" t="s">
        <v>147</v>
      </c>
      <c r="C18" s="138"/>
      <c r="D18" s="138"/>
      <c r="E18" s="138"/>
      <c r="F18" s="138"/>
      <c r="G18" s="137"/>
      <c r="I18" s="43"/>
      <c r="J18" s="139" t="s">
        <v>146</v>
      </c>
      <c r="K18" s="138"/>
      <c r="L18" s="138"/>
      <c r="M18" s="138"/>
      <c r="N18" s="138"/>
      <c r="O18" s="137"/>
      <c r="Q18" s="139" t="s">
        <v>145</v>
      </c>
      <c r="R18" s="138"/>
      <c r="S18" s="138"/>
      <c r="T18" s="138"/>
      <c r="U18" s="138"/>
      <c r="V18" s="137"/>
      <c r="X18" s="139" t="s">
        <v>144</v>
      </c>
      <c r="Y18" s="138"/>
      <c r="Z18" s="138"/>
      <c r="AA18" s="137"/>
      <c r="AD18" s="185" t="s">
        <v>143</v>
      </c>
      <c r="AE18" s="138"/>
      <c r="AF18" s="138"/>
      <c r="AG18" s="137"/>
    </row>
    <row r="19" spans="1:33" x14ac:dyDescent="0.25">
      <c r="B19" s="184" cm="1">
        <f t="array" ref="B19:G24">[2]!SVD_U(B2:E7)</f>
        <v>0.5087951402776425</v>
      </c>
      <c r="C19" s="183">
        <v>0.35064500472136118</v>
      </c>
      <c r="D19" s="183">
        <v>0.52839742399999268</v>
      </c>
      <c r="E19" s="183">
        <v>0.40261768454038038</v>
      </c>
      <c r="F19" s="183">
        <v>0.40824829046386096</v>
      </c>
      <c r="G19" s="182">
        <v>0.1010152544552152</v>
      </c>
      <c r="H19" s="34"/>
      <c r="J19" s="184" cm="1">
        <f t="array" ref="J19:O24">[2]!SVD_U(J2:M7)</f>
        <v>0.50879514027764228</v>
      </c>
      <c r="K19" s="183">
        <v>0.35064500472136095</v>
      </c>
      <c r="L19" s="183">
        <v>0.5283974239999929</v>
      </c>
      <c r="M19" s="183">
        <v>0.40261768454038815</v>
      </c>
      <c r="N19" s="183">
        <v>0.40824829046385941</v>
      </c>
      <c r="O19" s="182">
        <v>0.10101525445521697</v>
      </c>
      <c r="P19" s="34"/>
      <c r="Q19" s="184" cm="1">
        <f t="array" ref="Q19:V24">[2]!SVD_U(Q2:T7)</f>
        <v>0.50879514027764228</v>
      </c>
      <c r="R19" s="183">
        <v>0.35064500472136073</v>
      </c>
      <c r="S19" s="183">
        <v>0.52839742399999312</v>
      </c>
      <c r="T19" s="183">
        <v>0.40261768454038149</v>
      </c>
      <c r="U19" s="183">
        <v>0.40824829046386085</v>
      </c>
      <c r="V19" s="182">
        <v>0.10101525445522253</v>
      </c>
      <c r="X19" s="175" cm="1">
        <f t="array" ref="X19:AA22">[2]!SVD_U(B12:E15)</f>
        <v>0.51810244509785996</v>
      </c>
      <c r="Y19" s="174">
        <v>0.38947147186111186</v>
      </c>
      <c r="Z19" s="174">
        <v>0.47163134874516932</v>
      </c>
      <c r="AA19" s="173">
        <v>0.59786762738168453</v>
      </c>
      <c r="AD19" s="124" cm="1">
        <f t="array" ref="AD19:AG22">MMULT(B28:E31,MMULT(((B35:E38)^2)/5,TRANSPOSE(B28:E31)))</f>
        <v>2.4000000000000012</v>
      </c>
      <c r="AE19" s="123">
        <v>1.9999999999999998</v>
      </c>
      <c r="AF19" s="123">
        <v>-1.6000000000000008</v>
      </c>
      <c r="AG19" s="122">
        <v>-2.5999999999999992</v>
      </c>
    </row>
    <row r="20" spans="1:33" x14ac:dyDescent="0.25">
      <c r="B20" s="181">
        <v>0.417478010610563</v>
      </c>
      <c r="C20" s="180">
        <v>-0.47903156960484822</v>
      </c>
      <c r="D20" s="180">
        <v>-0.2439506058745364</v>
      </c>
      <c r="E20" s="180">
        <v>-5.2109139599796156E-2</v>
      </c>
      <c r="F20" s="180">
        <v>0.40824829046385996</v>
      </c>
      <c r="G20" s="179">
        <v>-0.6060915267313286</v>
      </c>
      <c r="H20" s="34"/>
      <c r="J20" s="181">
        <v>0.41747801061056306</v>
      </c>
      <c r="K20" s="180">
        <v>-0.479031569604848</v>
      </c>
      <c r="L20" s="180">
        <v>-0.24395060587453665</v>
      </c>
      <c r="M20" s="180">
        <v>-5.2109139599804191E-2</v>
      </c>
      <c r="N20" s="180">
        <v>0.40824829046386246</v>
      </c>
      <c r="O20" s="179">
        <v>-0.60609152673132638</v>
      </c>
      <c r="P20" s="34"/>
      <c r="Q20" s="181">
        <v>0.41747801061056267</v>
      </c>
      <c r="R20" s="180">
        <v>-0.47903156960484711</v>
      </c>
      <c r="S20" s="180">
        <v>-0.24395060587453612</v>
      </c>
      <c r="T20" s="180">
        <v>-5.2109139599798272E-2</v>
      </c>
      <c r="U20" s="180">
        <v>0.40824829046386479</v>
      </c>
      <c r="V20" s="179">
        <v>-0.60609152673132571</v>
      </c>
      <c r="X20" s="172">
        <v>0.49925617556474222</v>
      </c>
      <c r="Y20" s="171">
        <v>-0.6386947649203506</v>
      </c>
      <c r="Z20" s="171">
        <v>-0.46763672711037713</v>
      </c>
      <c r="AA20" s="170">
        <v>0.35231826504052793</v>
      </c>
      <c r="AD20" s="121">
        <v>1.9999999999999998</v>
      </c>
      <c r="AE20" s="120">
        <v>2.4</v>
      </c>
      <c r="AF20" s="120">
        <v>-1.8000000000000009</v>
      </c>
      <c r="AG20" s="119">
        <v>-2.1999999999999997</v>
      </c>
    </row>
    <row r="21" spans="1:33" x14ac:dyDescent="0.25">
      <c r="B21" s="181">
        <v>-0.43906537714950966</v>
      </c>
      <c r="C21" s="180">
        <v>-0.41729700537914538</v>
      </c>
      <c r="D21" s="180">
        <v>-0.12944980860138147</v>
      </c>
      <c r="E21" s="180">
        <v>0.59818404323643315</v>
      </c>
      <c r="F21" s="180">
        <v>0.40824829046386285</v>
      </c>
      <c r="G21" s="179">
        <v>0.30304576336565686</v>
      </c>
      <c r="H21" s="34"/>
      <c r="J21" s="181">
        <v>-0.43906537714950983</v>
      </c>
      <c r="K21" s="180">
        <v>-0.41729700537914521</v>
      </c>
      <c r="L21" s="180">
        <v>-0.12944980860138119</v>
      </c>
      <c r="M21" s="180">
        <v>0.59818404323642782</v>
      </c>
      <c r="N21" s="180">
        <v>0.40824829046386057</v>
      </c>
      <c r="O21" s="179">
        <v>0.30304576336566008</v>
      </c>
      <c r="P21" s="34"/>
      <c r="Q21" s="181">
        <v>-0.43906537714950944</v>
      </c>
      <c r="R21" s="180">
        <v>-0.41729700537914532</v>
      </c>
      <c r="S21" s="180">
        <v>-0.12944980860138142</v>
      </c>
      <c r="T21" s="180">
        <v>0.59818404323642926</v>
      </c>
      <c r="U21" s="180">
        <v>0.40824829046386157</v>
      </c>
      <c r="V21" s="179">
        <v>0.30304576336566486</v>
      </c>
      <c r="X21" s="172">
        <v>-0.39170923774579069</v>
      </c>
      <c r="Y21" s="171">
        <v>0.43491168123944562</v>
      </c>
      <c r="Z21" s="171">
        <v>-0.60834740547117794</v>
      </c>
      <c r="AA21" s="170">
        <v>0.53603091034221306</v>
      </c>
      <c r="AD21" s="121">
        <v>-1.6000000000000008</v>
      </c>
      <c r="AE21" s="120">
        <v>-1.8000000000000012</v>
      </c>
      <c r="AF21" s="120">
        <v>1.4666666666666657</v>
      </c>
      <c r="AG21" s="119">
        <v>1.7333333333333334</v>
      </c>
    </row>
    <row r="22" spans="1:33" ht="15.75" thickBot="1" x14ac:dyDescent="0.3">
      <c r="B22" s="181">
        <v>-0.40813706815168349</v>
      </c>
      <c r="C22" s="180">
        <v>0.64831301926304741</v>
      </c>
      <c r="D22" s="180">
        <v>-0.28794328563571814</v>
      </c>
      <c r="E22" s="180">
        <v>1.6463721413168361E-2</v>
      </c>
      <c r="F22" s="180">
        <v>0.40824829046386124</v>
      </c>
      <c r="G22" s="179">
        <v>-0.40406101782088666</v>
      </c>
      <c r="H22" s="34"/>
      <c r="J22" s="181">
        <v>-0.40813706815168355</v>
      </c>
      <c r="K22" s="180">
        <v>0.64831301926304752</v>
      </c>
      <c r="L22" s="180">
        <v>-0.28794328563571842</v>
      </c>
      <c r="M22" s="180">
        <v>1.6463721413158945E-2</v>
      </c>
      <c r="N22" s="180">
        <v>0.40824829046386307</v>
      </c>
      <c r="O22" s="179">
        <v>-0.40406101782088477</v>
      </c>
      <c r="P22" s="34"/>
      <c r="Q22" s="181">
        <v>-0.40813706815168316</v>
      </c>
      <c r="R22" s="180">
        <v>0.6483130192630483</v>
      </c>
      <c r="S22" s="180">
        <v>-0.28794328563571753</v>
      </c>
      <c r="T22" s="180">
        <v>1.6463721413165044E-2</v>
      </c>
      <c r="U22" s="180">
        <v>0.40824829046386474</v>
      </c>
      <c r="V22" s="179">
        <v>-0.40406101782088338</v>
      </c>
      <c r="X22" s="169">
        <v>-0.57347798615875223</v>
      </c>
      <c r="Y22" s="168">
        <v>-0.50123128333251121</v>
      </c>
      <c r="Z22" s="168">
        <v>0.434503390774794</v>
      </c>
      <c r="AA22" s="167">
        <v>0.48072549693720823</v>
      </c>
      <c r="AD22" s="117">
        <v>-2.5999999999999992</v>
      </c>
      <c r="AE22" s="116">
        <v>-2.2000000000000002</v>
      </c>
      <c r="AF22" s="116">
        <v>1.7333333333333336</v>
      </c>
      <c r="AG22" s="115">
        <v>2.9666666666666668</v>
      </c>
    </row>
    <row r="23" spans="1:33" x14ac:dyDescent="0.25">
      <c r="B23" s="181">
        <v>0.2801201303712551</v>
      </c>
      <c r="C23" s="180">
        <v>0.10338477847319628</v>
      </c>
      <c r="D23" s="180">
        <v>-0.4592541293309888</v>
      </c>
      <c r="E23" s="180">
        <v>-0.40732829436596008</v>
      </c>
      <c r="F23" s="180">
        <v>0.4082482904638699</v>
      </c>
      <c r="G23" s="179">
        <v>0.60609152673132682</v>
      </c>
      <c r="H23" s="34"/>
      <c r="J23" s="181">
        <v>0.2801201303712551</v>
      </c>
      <c r="K23" s="180">
        <v>0.10338477847319656</v>
      </c>
      <c r="L23" s="180">
        <v>-0.4592541293309903</v>
      </c>
      <c r="M23" s="180">
        <v>-0.40732829436597251</v>
      </c>
      <c r="N23" s="180">
        <v>0.40824829046386807</v>
      </c>
      <c r="O23" s="179">
        <v>0.6060915267313286</v>
      </c>
      <c r="P23" s="34"/>
      <c r="Q23" s="181">
        <v>0.28012013037125488</v>
      </c>
      <c r="R23" s="180">
        <v>0.10338477847319667</v>
      </c>
      <c r="S23" s="180">
        <v>-0.45925412933098753</v>
      </c>
      <c r="T23" s="180">
        <v>-0.40732829436596724</v>
      </c>
      <c r="U23" s="180">
        <v>0.40824829046386385</v>
      </c>
      <c r="V23" s="179">
        <v>0.60609152673132716</v>
      </c>
      <c r="X23" t="str">
        <f ca="1">_xlfn.FORMULATEXT(X19)</f>
        <v>=SVD_U(B12:E15)</v>
      </c>
      <c r="AD23" t="str">
        <f ca="1">_xlfn.FORMULATEXT(AD19)</f>
        <v>=MMULT(B28:E31,MMULT(((B35:E38)^2)/5,TRANSPOSE(B28:E31)))</v>
      </c>
    </row>
    <row r="24" spans="1:33" ht="15.75" thickBot="1" x14ac:dyDescent="0.3">
      <c r="B24" s="178">
        <v>-0.35919083595826706</v>
      </c>
      <c r="C24" s="177">
        <v>-0.20601422747361234</v>
      </c>
      <c r="D24" s="177">
        <v>0.59220040544263952</v>
      </c>
      <c r="E24" s="177">
        <v>-0.557828015224202</v>
      </c>
      <c r="F24" s="177">
        <v>0.40824829046386374</v>
      </c>
      <c r="G24" s="176">
        <v>0</v>
      </c>
      <c r="H24" s="34"/>
      <c r="J24" s="178">
        <v>-0.35919083595826584</v>
      </c>
      <c r="K24" s="177">
        <v>-0.20601422747361264</v>
      </c>
      <c r="L24" s="177">
        <v>0.5922004054426383</v>
      </c>
      <c r="M24" s="177">
        <v>-0.55782801522419256</v>
      </c>
      <c r="N24" s="177">
        <v>0.40824829046386402</v>
      </c>
      <c r="O24" s="176">
        <v>0</v>
      </c>
      <c r="P24" s="34"/>
      <c r="Q24" s="178">
        <v>-0.35919083595826867</v>
      </c>
      <c r="R24" s="177">
        <v>-0.2060142274736127</v>
      </c>
      <c r="S24" s="177">
        <v>0.59220040544264063</v>
      </c>
      <c r="T24" s="177">
        <v>-0.55782801522419989</v>
      </c>
      <c r="U24" s="177">
        <v>0.40824829046386246</v>
      </c>
      <c r="V24" s="176">
        <v>0</v>
      </c>
    </row>
    <row r="25" spans="1:33" x14ac:dyDescent="0.25">
      <c r="B25" t="str">
        <f ca="1">_xlfn.FORMULATEXT(B19)</f>
        <v>=SVD_U(B2:E7)</v>
      </c>
      <c r="J25" t="str">
        <f ca="1">_xlfn.FORMULATEXT(J19)</f>
        <v>=SVD_U(J2:M7)</v>
      </c>
      <c r="Q25" t="str">
        <f ca="1">_xlfn.FORMULATEXT(Q19)</f>
        <v>=SVD_U(Q2:T7)</v>
      </c>
    </row>
    <row r="26" spans="1:33" ht="15.75" thickBot="1" x14ac:dyDescent="0.3"/>
    <row r="27" spans="1:33" ht="18.75" thickBot="1" x14ac:dyDescent="0.4">
      <c r="B27" s="139" t="s">
        <v>142</v>
      </c>
      <c r="C27" s="138"/>
      <c r="D27" s="138"/>
      <c r="E27" s="137"/>
      <c r="J27" s="139" t="s">
        <v>141</v>
      </c>
      <c r="K27" s="138"/>
      <c r="L27" s="138"/>
      <c r="M27" s="137"/>
      <c r="Q27" s="139" t="s">
        <v>140</v>
      </c>
      <c r="R27" s="138"/>
      <c r="S27" s="138"/>
      <c r="T27" s="137"/>
      <c r="X27" s="139" t="s">
        <v>139</v>
      </c>
      <c r="Y27" s="138"/>
      <c r="Z27" s="138"/>
      <c r="AA27" s="137"/>
    </row>
    <row r="28" spans="1:33" x14ac:dyDescent="0.25">
      <c r="B28" s="175" cm="1">
        <f t="array" ref="B28:E31">[2]!SVD_V(B2:E7)</f>
        <v>0.51810244509785974</v>
      </c>
      <c r="C28" s="174">
        <v>0.38947147186111097</v>
      </c>
      <c r="D28" s="174">
        <v>0.47163134874515822</v>
      </c>
      <c r="E28" s="173">
        <v>-0.597867627381508</v>
      </c>
      <c r="J28" s="175" cm="1">
        <f t="array" ref="J28:M31">[2]!SVD_V(J2:M7)</f>
        <v>0.51810244509785974</v>
      </c>
      <c r="K28" s="174">
        <v>0.3894714718611107</v>
      </c>
      <c r="L28" s="174">
        <v>0.47163134874515678</v>
      </c>
      <c r="M28" s="173">
        <v>-0.59786762738149779</v>
      </c>
      <c r="Q28" s="175" cm="1">
        <f t="array" ref="Q28:T31">[2]!SVD_V(Q2:T7)</f>
        <v>0.51810244509785996</v>
      </c>
      <c r="R28" s="174">
        <v>0.38947147186111075</v>
      </c>
      <c r="S28" s="174">
        <v>0.47163134874515911</v>
      </c>
      <c r="T28" s="173">
        <v>-0.59786762738150678</v>
      </c>
      <c r="X28" s="175" cm="1">
        <f t="array" ref="X28:AA31">[2]!SVD_V(B12:E15)</f>
        <v>0.51810244509785974</v>
      </c>
      <c r="Y28" s="174">
        <v>0.38947147186111114</v>
      </c>
      <c r="Z28" s="174">
        <v>0.47163134874527424</v>
      </c>
      <c r="AA28" s="173">
        <v>0.59786762738205979</v>
      </c>
    </row>
    <row r="29" spans="1:33" x14ac:dyDescent="0.25">
      <c r="B29" s="172">
        <v>0.49925617556474217</v>
      </c>
      <c r="C29" s="171">
        <v>-0.63869476492034749</v>
      </c>
      <c r="D29" s="171">
        <v>-0.4676367271103839</v>
      </c>
      <c r="E29" s="170">
        <v>-0.35231826504069796</v>
      </c>
      <c r="J29" s="172">
        <v>0.49925617556474217</v>
      </c>
      <c r="K29" s="171">
        <v>-0.63869476492034671</v>
      </c>
      <c r="L29" s="171">
        <v>-0.46763672711038312</v>
      </c>
      <c r="M29" s="170">
        <v>-0.3523182650407099</v>
      </c>
      <c r="Q29" s="172">
        <v>0.49925617556474244</v>
      </c>
      <c r="R29" s="171">
        <v>-0.63869476492034694</v>
      </c>
      <c r="S29" s="171">
        <v>-0.46763672711038357</v>
      </c>
      <c r="T29" s="170">
        <v>-0.35231826504070302</v>
      </c>
      <c r="X29" s="172">
        <v>0.49925617556474222</v>
      </c>
      <c r="Y29" s="171">
        <v>-0.6386947649203466</v>
      </c>
      <c r="Z29" s="171">
        <v>-0.4676367271104887</v>
      </c>
      <c r="AA29" s="170">
        <v>0.35231826504059377</v>
      </c>
    </row>
    <row r="30" spans="1:33" x14ac:dyDescent="0.25">
      <c r="B30" s="172">
        <v>-0.39170923774579064</v>
      </c>
      <c r="C30" s="171">
        <v>0.43491168123945045</v>
      </c>
      <c r="D30" s="171">
        <v>-0.60834740547118649</v>
      </c>
      <c r="E30" s="170">
        <v>-0.53603091034243666</v>
      </c>
      <c r="J30" s="172">
        <v>-0.39170923774579064</v>
      </c>
      <c r="K30" s="171">
        <v>0.43491168123945018</v>
      </c>
      <c r="L30" s="171">
        <v>-0.60834740547118604</v>
      </c>
      <c r="M30" s="170">
        <v>-0.53603091034245343</v>
      </c>
      <c r="Q30" s="172">
        <v>-0.39170923774579075</v>
      </c>
      <c r="R30" s="171">
        <v>0.43491168123945029</v>
      </c>
      <c r="S30" s="171">
        <v>-0.60834740547118527</v>
      </c>
      <c r="T30" s="170">
        <v>-0.53603091034244399</v>
      </c>
      <c r="X30" s="172">
        <v>-0.39170923774579069</v>
      </c>
      <c r="Y30" s="171">
        <v>0.43491168123944884</v>
      </c>
      <c r="Z30" s="171">
        <v>-0.60834740547133759</v>
      </c>
      <c r="AA30" s="170">
        <v>0.53603091034232819</v>
      </c>
    </row>
    <row r="31" spans="1:33" ht="15.75" thickBot="1" x14ac:dyDescent="0.3">
      <c r="B31" s="169">
        <v>-0.57347798615875223</v>
      </c>
      <c r="C31" s="168">
        <v>-0.50123128333251288</v>
      </c>
      <c r="D31" s="168">
        <v>0.43450339077478428</v>
      </c>
      <c r="E31" s="167">
        <v>-0.48072549693704802</v>
      </c>
      <c r="J31" s="169">
        <v>-0.57347798615875223</v>
      </c>
      <c r="K31" s="168">
        <v>-0.50123128333251266</v>
      </c>
      <c r="L31" s="168">
        <v>0.43450339077478323</v>
      </c>
      <c r="M31" s="167">
        <v>-0.4807254969370357</v>
      </c>
      <c r="Q31" s="169">
        <v>-0.57347798615875267</v>
      </c>
      <c r="R31" s="168">
        <v>-0.50123128333251299</v>
      </c>
      <c r="S31" s="168">
        <v>0.43450339077478406</v>
      </c>
      <c r="T31" s="167">
        <v>-0.48072549693704497</v>
      </c>
      <c r="X31" s="169">
        <v>-0.57347798615875234</v>
      </c>
      <c r="Y31" s="168">
        <v>-0.50123128333251199</v>
      </c>
      <c r="Z31" s="168">
        <v>0.43450339077489247</v>
      </c>
      <c r="AA31" s="167">
        <v>0.48072549693756028</v>
      </c>
    </row>
    <row r="32" spans="1:33" x14ac:dyDescent="0.25">
      <c r="B32" t="str">
        <f ca="1">_xlfn.FORMULATEXT(B28)</f>
        <v>=SVD_V(B2:E7)</v>
      </c>
      <c r="J32" t="str">
        <f ca="1">_xlfn.FORMULATEXT(J28)</f>
        <v>=SVD_V(J2:M7)</v>
      </c>
      <c r="Q32" t="str">
        <f ca="1">_xlfn.FORMULATEXT(Q28)</f>
        <v>=SVD_V(Q2:T7)</v>
      </c>
      <c r="X32" t="str">
        <f ca="1">_xlfn.FORMULATEXT(X28)</f>
        <v>=SVD_V(B12:E15)</v>
      </c>
    </row>
    <row r="33" spans="2:33" ht="15.75" thickBot="1" x14ac:dyDescent="0.3"/>
    <row r="34" spans="2:33" ht="18.75" thickBot="1" x14ac:dyDescent="0.4">
      <c r="B34" s="166" t="s">
        <v>138</v>
      </c>
      <c r="C34" s="138"/>
      <c r="D34" s="138"/>
      <c r="E34" s="137"/>
      <c r="J34" s="166" t="s">
        <v>136</v>
      </c>
      <c r="K34" s="138"/>
      <c r="L34" s="138"/>
      <c r="M34" s="137"/>
      <c r="Q34" s="166" t="s">
        <v>137</v>
      </c>
      <c r="R34" s="138"/>
      <c r="S34" s="138"/>
      <c r="T34" s="137"/>
      <c r="X34" s="166" t="s">
        <v>135</v>
      </c>
      <c r="Y34" s="138"/>
      <c r="Z34" s="138"/>
      <c r="AA34" s="137"/>
      <c r="AD34" s="165" t="s">
        <v>134</v>
      </c>
      <c r="AE34" s="138"/>
      <c r="AF34" s="138"/>
      <c r="AG34" s="137"/>
    </row>
    <row r="35" spans="2:33" ht="15.75" thickBot="1" x14ac:dyDescent="0.3">
      <c r="B35" s="145" cm="1">
        <f t="array" ref="B35:E40">[2]!SVD_D(B2:E7)</f>
        <v>6.4864528468135498</v>
      </c>
      <c r="C35" s="135">
        <v>0</v>
      </c>
      <c r="D35" s="135">
        <v>0</v>
      </c>
      <c r="E35" s="134">
        <v>0</v>
      </c>
      <c r="F35" s="34">
        <f>B35^2</f>
        <v>42.074070533935604</v>
      </c>
      <c r="G35" s="153">
        <f>F35/5</f>
        <v>8.4148141067871212</v>
      </c>
      <c r="H35" s="34"/>
      <c r="J35" s="145" cm="1">
        <f t="array" ref="J35:M40">[2]!SVD_D(J2:M7)</f>
        <v>1.2972905693627095</v>
      </c>
      <c r="K35" s="135">
        <v>0</v>
      </c>
      <c r="L35" s="135">
        <v>0</v>
      </c>
      <c r="M35" s="134">
        <v>0</v>
      </c>
      <c r="N35" s="153">
        <f>(J35^2)*5</f>
        <v>8.4148141067871158</v>
      </c>
      <c r="Q35" s="145" cm="1">
        <f t="array" ref="Q35:T40">[2]!SVD_D(Q2:T7)</f>
        <v>2.9008298996644242</v>
      </c>
      <c r="R35" s="135">
        <v>0</v>
      </c>
      <c r="S35" s="135">
        <v>0</v>
      </c>
      <c r="T35" s="134">
        <v>0</v>
      </c>
      <c r="U35" s="153">
        <f>Q35^2</f>
        <v>8.4148141067871141</v>
      </c>
      <c r="X35" s="164" cm="1">
        <f t="array" ref="X35:AA38">[2]!SVD_D(B12:E15)</f>
        <v>8.4148141067871194</v>
      </c>
      <c r="Y35" s="135">
        <v>0</v>
      </c>
      <c r="Z35" s="135">
        <v>0</v>
      </c>
      <c r="AA35" s="134">
        <v>0</v>
      </c>
      <c r="AD35" s="163" cm="1">
        <f t="array" ref="AD35:AG41">[2]!eigVECTSym(B12:E15)</f>
        <v>8.4148141067871158</v>
      </c>
      <c r="AE35" s="162">
        <v>0.67959958156260658</v>
      </c>
      <c r="AF35" s="162">
        <v>8.5424379898126374E-2</v>
      </c>
      <c r="AG35" s="161">
        <v>5.3495265085481504E-2</v>
      </c>
    </row>
    <row r="36" spans="2:33" x14ac:dyDescent="0.25">
      <c r="B36" s="156">
        <v>0</v>
      </c>
      <c r="C36" s="34">
        <v>1.8433659180458521</v>
      </c>
      <c r="D36">
        <v>0</v>
      </c>
      <c r="E36" s="155">
        <v>0</v>
      </c>
      <c r="F36" s="34">
        <f>C36^2</f>
        <v>3.3979979078130271</v>
      </c>
      <c r="G36" s="153">
        <f>F36/5</f>
        <v>0.67959958156260547</v>
      </c>
      <c r="H36" s="34"/>
      <c r="J36" s="156">
        <v>0</v>
      </c>
      <c r="K36" s="34">
        <v>0.36867318360917073</v>
      </c>
      <c r="L36">
        <v>0</v>
      </c>
      <c r="M36" s="155">
        <v>0</v>
      </c>
      <c r="N36" s="153">
        <f>(K36^2)*5</f>
        <v>0.67959958156260658</v>
      </c>
      <c r="Q36" s="156">
        <v>0</v>
      </c>
      <c r="R36" s="34">
        <v>0.8243783000313667</v>
      </c>
      <c r="S36">
        <v>0</v>
      </c>
      <c r="T36" s="155">
        <v>0</v>
      </c>
      <c r="U36" s="153">
        <f>R36^2</f>
        <v>0.67959958156260603</v>
      </c>
      <c r="X36" s="156">
        <v>0</v>
      </c>
      <c r="Y36" s="153">
        <v>0.67959958156260691</v>
      </c>
      <c r="Z36">
        <v>0</v>
      </c>
      <c r="AA36" s="155">
        <v>0</v>
      </c>
      <c r="AC36" s="160" t="s">
        <v>133</v>
      </c>
      <c r="AD36" s="159">
        <v>-0.51810244509786019</v>
      </c>
      <c r="AE36" s="158">
        <v>-0.38947147186111097</v>
      </c>
      <c r="AF36" s="158">
        <v>-0.47163134874514734</v>
      </c>
      <c r="AG36" s="157">
        <v>-0.59786762738151422</v>
      </c>
    </row>
    <row r="37" spans="2:33" x14ac:dyDescent="0.25">
      <c r="B37" s="156">
        <v>0</v>
      </c>
      <c r="C37">
        <v>0</v>
      </c>
      <c r="D37" s="34">
        <v>0.65354563688439671</v>
      </c>
      <c r="E37" s="155">
        <v>0</v>
      </c>
      <c r="F37" s="34">
        <f>D37^2</f>
        <v>0.42712189949063173</v>
      </c>
      <c r="G37" s="153">
        <f>F37/5</f>
        <v>8.5424379898126346E-2</v>
      </c>
      <c r="H37" s="34"/>
      <c r="J37" s="156">
        <v>0</v>
      </c>
      <c r="K37">
        <v>0</v>
      </c>
      <c r="L37" s="34">
        <v>0.13070912737687967</v>
      </c>
      <c r="M37" s="155">
        <v>0</v>
      </c>
      <c r="N37" s="153">
        <f>(L37^2)*5</f>
        <v>8.5424379898126776E-2</v>
      </c>
      <c r="Q37" s="156">
        <v>0</v>
      </c>
      <c r="R37">
        <v>0</v>
      </c>
      <c r="S37" s="34">
        <v>0.29227449409438133</v>
      </c>
      <c r="T37" s="155">
        <v>0</v>
      </c>
      <c r="U37" s="153">
        <f>S37^2</f>
        <v>8.5424379898126554E-2</v>
      </c>
      <c r="X37" s="156">
        <v>0</v>
      </c>
      <c r="Y37">
        <v>0</v>
      </c>
      <c r="Z37" s="153">
        <v>8.5424379898105515E-2</v>
      </c>
      <c r="AA37" s="155">
        <v>0</v>
      </c>
      <c r="AC37" s="154" t="s">
        <v>132</v>
      </c>
      <c r="AD37" s="150">
        <v>-0.49925617556474239</v>
      </c>
      <c r="AE37" s="149">
        <v>0.63869476492034749</v>
      </c>
      <c r="AF37" s="149">
        <v>0.46763672711039106</v>
      </c>
      <c r="AG37" s="148">
        <v>-0.35231826504069658</v>
      </c>
    </row>
    <row r="38" spans="2:33" ht="15.75" thickBot="1" x14ac:dyDescent="0.3">
      <c r="B38" s="152">
        <v>0</v>
      </c>
      <c r="C38" s="45">
        <v>0</v>
      </c>
      <c r="D38" s="45">
        <v>0</v>
      </c>
      <c r="E38" s="140">
        <v>0.51718113405982979</v>
      </c>
      <c r="F38" s="34">
        <f>E38^2</f>
        <v>0.26747632542741162</v>
      </c>
      <c r="G38" s="153">
        <f>F38/5</f>
        <v>5.3495265085482323E-2</v>
      </c>
      <c r="H38" s="34"/>
      <c r="J38" s="152">
        <v>0</v>
      </c>
      <c r="K38" s="45">
        <v>0</v>
      </c>
      <c r="L38" s="45">
        <v>0</v>
      </c>
      <c r="M38" s="140">
        <v>0.10343622681196588</v>
      </c>
      <c r="N38" s="153">
        <f>(M38^2)*5</f>
        <v>5.349526508548224E-2</v>
      </c>
      <c r="Q38" s="152">
        <v>0</v>
      </c>
      <c r="R38" s="45">
        <v>0</v>
      </c>
      <c r="S38" s="45">
        <v>0</v>
      </c>
      <c r="T38" s="140">
        <v>0.23129043448764147</v>
      </c>
      <c r="U38" s="153">
        <f>T38^2</f>
        <v>5.3495265085481969E-2</v>
      </c>
      <c r="X38" s="152">
        <v>0</v>
      </c>
      <c r="Y38" s="45">
        <v>0</v>
      </c>
      <c r="Z38" s="45">
        <v>0</v>
      </c>
      <c r="AA38" s="151">
        <v>5.3495265085456427E-2</v>
      </c>
      <c r="AD38" s="150">
        <v>0.39170923774579081</v>
      </c>
      <c r="AE38" s="149">
        <v>-0.43491168123945018</v>
      </c>
      <c r="AF38" s="149">
        <v>0.6083474054711977</v>
      </c>
      <c r="AG38" s="148">
        <v>-0.53603091034243477</v>
      </c>
    </row>
    <row r="39" spans="2:33" ht="15.75" thickBot="1" x14ac:dyDescent="0.3">
      <c r="B39">
        <v>0</v>
      </c>
      <c r="C39">
        <v>0</v>
      </c>
      <c r="D39">
        <v>0</v>
      </c>
      <c r="E39">
        <v>0</v>
      </c>
      <c r="F39" t="str">
        <f ca="1">_xlfn.FORMULATEXT(F35)</f>
        <v>=B35^2</v>
      </c>
      <c r="G39" t="str">
        <f ca="1">_xlfn.FORMULATEXT(G35)</f>
        <v>=F35/5</v>
      </c>
      <c r="J39">
        <v>0</v>
      </c>
      <c r="K39">
        <v>0</v>
      </c>
      <c r="L39">
        <v>0</v>
      </c>
      <c r="M39">
        <v>0</v>
      </c>
      <c r="N39" t="str">
        <f ca="1">_xlfn.FORMULATEXT(N35)</f>
        <v>=(J35^2)*5</v>
      </c>
      <c r="Q39">
        <v>0</v>
      </c>
      <c r="R39">
        <v>0</v>
      </c>
      <c r="S39">
        <v>0</v>
      </c>
      <c r="T39">
        <v>0</v>
      </c>
      <c r="U39" t="str">
        <f ca="1">_xlfn.FORMULATEXT(U35)</f>
        <v>=Q35^2</v>
      </c>
      <c r="X39" t="str">
        <f ca="1">_xlfn.FORMULATEXT(X35)</f>
        <v>=SVD_D(B12:E15)</v>
      </c>
      <c r="AD39" s="150">
        <v>0.57347798615875178</v>
      </c>
      <c r="AE39" s="149">
        <v>0.50123128333251243</v>
      </c>
      <c r="AF39" s="149">
        <v>-0.43450339077477551</v>
      </c>
      <c r="AG39" s="148">
        <v>-0.48072549693704936</v>
      </c>
    </row>
    <row r="40" spans="2:33" ht="16.5" x14ac:dyDescent="0.25">
      <c r="B40">
        <v>0</v>
      </c>
      <c r="C40">
        <v>0</v>
      </c>
      <c r="D40">
        <v>0</v>
      </c>
      <c r="E40">
        <v>0</v>
      </c>
      <c r="G40" s="146" t="s">
        <v>131</v>
      </c>
      <c r="H40" s="146"/>
      <c r="I40" s="147"/>
      <c r="J40">
        <v>0</v>
      </c>
      <c r="K40">
        <v>0</v>
      </c>
      <c r="L40">
        <v>0</v>
      </c>
      <c r="M40">
        <v>0</v>
      </c>
      <c r="N40" s="146" t="s">
        <v>130</v>
      </c>
      <c r="O40" s="147"/>
      <c r="P40" s="147"/>
      <c r="Q40">
        <v>0</v>
      </c>
      <c r="R40">
        <v>0</v>
      </c>
      <c r="S40">
        <v>0</v>
      </c>
      <c r="T40">
        <v>0</v>
      </c>
      <c r="U40" s="146" t="s">
        <v>129</v>
      </c>
      <c r="V40" s="147"/>
      <c r="AB40" s="146" t="s">
        <v>128</v>
      </c>
      <c r="AD40" s="145">
        <v>-1.9669986558131636E-12</v>
      </c>
      <c r="AE40" s="144">
        <v>-4.6024369925868885E-16</v>
      </c>
      <c r="AF40" s="144">
        <v>-5.072098858881694E-18</v>
      </c>
      <c r="AG40" s="143">
        <v>1.0167183059207636E-16</v>
      </c>
    </row>
    <row r="41" spans="2:33" ht="15.75" thickBot="1" x14ac:dyDescent="0.3">
      <c r="AD41" s="142">
        <v>6.6613381477509392E-15</v>
      </c>
      <c r="AE41" s="141">
        <v>4.4408920985006262E-16</v>
      </c>
      <c r="AF41" s="141">
        <v>4.4408920985006262E-16</v>
      </c>
      <c r="AG41" s="140">
        <v>1.3322676295501878E-15</v>
      </c>
    </row>
    <row r="42" spans="2:33" ht="18.75" thickBot="1" x14ac:dyDescent="0.4">
      <c r="B42" s="139" t="s">
        <v>127</v>
      </c>
      <c r="C42" s="138"/>
      <c r="D42" s="138"/>
      <c r="E42" s="137"/>
      <c r="J42" s="139" t="s">
        <v>125</v>
      </c>
      <c r="K42" s="138"/>
      <c r="L42" s="138"/>
      <c r="M42" s="137"/>
      <c r="Q42" s="139" t="s">
        <v>126</v>
      </c>
      <c r="R42" s="138"/>
      <c r="S42" s="138"/>
      <c r="T42" s="137"/>
      <c r="X42" s="136" t="s">
        <v>124</v>
      </c>
      <c r="Y42" s="135"/>
      <c r="Z42" s="135"/>
      <c r="AA42" s="134"/>
      <c r="AD42" t="str">
        <f ca="1">_xlfn.FORMULATEXT(AD35)</f>
        <v>=eigVECTSym(B12:E15)</v>
      </c>
    </row>
    <row r="43" spans="2:33" x14ac:dyDescent="0.25">
      <c r="B43" s="133" cm="1">
        <f t="array" ref="B43:E48">MMULT(B19:G24,MMULT(B35:E40,TRANSPOSE(B28:E31)))</f>
        <v>2.0000000000000009</v>
      </c>
      <c r="C43" s="132">
        <v>1.0000000000000044</v>
      </c>
      <c r="D43" s="132">
        <v>-1.3333333333333277</v>
      </c>
      <c r="E43" s="131">
        <v>-2.1666666666666683</v>
      </c>
      <c r="J43" s="130" cm="1">
        <f t="array" ref="J43:M48">MMULT(J19:O24,MMULT(J35:M40,TRANSPOSE(J28:M31)))</f>
        <v>0.39999999999999991</v>
      </c>
      <c r="K43" s="129">
        <v>0.1999999999999999</v>
      </c>
      <c r="L43" s="129">
        <v>-0.2666666666666665</v>
      </c>
      <c r="M43" s="128">
        <v>-0.43333333333333313</v>
      </c>
      <c r="Q43" s="127" cm="1">
        <f t="array" ref="Q43:T48">MMULT(Q19:V24,MMULT(Q35:T40,TRANSPOSE(Q28:T31)))</f>
        <v>0.89442719099991619</v>
      </c>
      <c r="R43" s="126">
        <v>0.44721359549995943</v>
      </c>
      <c r="S43" s="126">
        <v>-0.59628479399994183</v>
      </c>
      <c r="T43" s="125">
        <v>-0.96896279024990883</v>
      </c>
      <c r="X43" s="124" cm="1">
        <f t="array" ref="X43:AA46">MMULT(X19:AA22,MMULT(X35:AA38,TRANSPOSE(X28:AA31)))</f>
        <v>2.4000000000000177</v>
      </c>
      <c r="Y43" s="123">
        <v>1.9999999999999944</v>
      </c>
      <c r="Z43" s="123">
        <v>-1.6000000000000083</v>
      </c>
      <c r="AA43" s="122">
        <v>-2.5999999999999868</v>
      </c>
    </row>
    <row r="44" spans="2:33" ht="18.75" x14ac:dyDescent="0.3">
      <c r="B44" s="114">
        <v>0.99999999999999789</v>
      </c>
      <c r="C44" s="113">
        <v>1.9999999999999989</v>
      </c>
      <c r="D44" s="113">
        <v>-1.333333333333337</v>
      </c>
      <c r="E44" s="112">
        <v>-1.1666666666666681</v>
      </c>
      <c r="J44" s="111">
        <v>0.19999999999999996</v>
      </c>
      <c r="K44" s="110">
        <v>0.39999999999999991</v>
      </c>
      <c r="L44" s="110">
        <v>-0.26666666666666677</v>
      </c>
      <c r="M44" s="109">
        <v>-0.2333333333333332</v>
      </c>
      <c r="Q44" s="108">
        <v>0.44721359549995704</v>
      </c>
      <c r="R44" s="107">
        <v>0.8944271909999143</v>
      </c>
      <c r="S44" s="107">
        <v>-0.59628479399994461</v>
      </c>
      <c r="T44" s="106">
        <v>-0.52174919474995118</v>
      </c>
      <c r="X44" s="121">
        <v>1.9999999999999982</v>
      </c>
      <c r="Y44" s="120">
        <v>2.3999999999999924</v>
      </c>
      <c r="Z44" s="120">
        <v>-1.8000000000000136</v>
      </c>
      <c r="AA44" s="119">
        <v>-2.1999999999999984</v>
      </c>
      <c r="AD44" s="118" t="s">
        <v>123</v>
      </c>
    </row>
    <row r="45" spans="2:33" ht="18.75" x14ac:dyDescent="0.3">
      <c r="B45" s="114">
        <v>-2.0000000000000062</v>
      </c>
      <c r="C45" s="113">
        <v>-0.999999999999997</v>
      </c>
      <c r="D45" s="113">
        <v>0.66666666666666985</v>
      </c>
      <c r="E45" s="112">
        <v>1.8333333333333273</v>
      </c>
      <c r="J45" s="111">
        <v>-0.40000000000000024</v>
      </c>
      <c r="K45" s="110">
        <v>-0.2</v>
      </c>
      <c r="L45" s="110">
        <v>0.1333333333333333</v>
      </c>
      <c r="M45" s="109">
        <v>0.36666666666666647</v>
      </c>
      <c r="Q45" s="108">
        <v>-0.8944271909999173</v>
      </c>
      <c r="R45" s="107">
        <v>-0.44721359549995665</v>
      </c>
      <c r="S45" s="107">
        <v>0.29814239699997269</v>
      </c>
      <c r="T45" s="106">
        <v>0.81989159174992121</v>
      </c>
      <c r="X45" s="121">
        <v>-1.6000000000000005</v>
      </c>
      <c r="Y45" s="120">
        <v>-1.8000000000000118</v>
      </c>
      <c r="Z45" s="120">
        <v>1.4666666666666468</v>
      </c>
      <c r="AA45" s="119">
        <v>1.7333333333333378</v>
      </c>
      <c r="AD45" s="118" t="s">
        <v>122</v>
      </c>
    </row>
    <row r="46" spans="2:33" ht="15.75" thickBot="1" x14ac:dyDescent="0.3">
      <c r="B46" s="114">
        <v>-1.0000000000000033</v>
      </c>
      <c r="C46" s="113">
        <v>-2.0000000000000022</v>
      </c>
      <c r="D46" s="113">
        <v>1.6666666666666632</v>
      </c>
      <c r="E46" s="112">
        <v>0.83333333333333171</v>
      </c>
      <c r="J46" s="111">
        <v>-0.19999999999999998</v>
      </c>
      <c r="K46" s="110">
        <v>-0.39999999999999997</v>
      </c>
      <c r="L46" s="110">
        <v>0.3333333333333332</v>
      </c>
      <c r="M46" s="109">
        <v>0.16666666666666669</v>
      </c>
      <c r="Q46" s="108">
        <v>-0.44721359549995826</v>
      </c>
      <c r="R46" s="107">
        <v>-0.89442719099991641</v>
      </c>
      <c r="S46" s="107">
        <v>0.74535599249992845</v>
      </c>
      <c r="T46" s="106">
        <v>0.37267799624996378</v>
      </c>
      <c r="X46" s="117">
        <v>-2.5999999999999863</v>
      </c>
      <c r="Y46" s="116">
        <v>-2.2000000000000046</v>
      </c>
      <c r="Z46" s="116">
        <v>1.7333333333333285</v>
      </c>
      <c r="AA46" s="115">
        <v>2.9666666666666779</v>
      </c>
    </row>
    <row r="47" spans="2:33" x14ac:dyDescent="0.25">
      <c r="B47" s="114">
        <v>0.99999999999999822</v>
      </c>
      <c r="C47" s="113">
        <v>0.99999999999999367</v>
      </c>
      <c r="D47" s="113">
        <v>-0.33333333333334331</v>
      </c>
      <c r="E47" s="112">
        <v>-1.1666666666666667</v>
      </c>
      <c r="J47" s="111">
        <v>0.19999999999999987</v>
      </c>
      <c r="K47" s="110">
        <v>0.19999999999999968</v>
      </c>
      <c r="L47" s="110">
        <v>-6.6666666666666999E-2</v>
      </c>
      <c r="M47" s="109">
        <v>-0.23333333333333336</v>
      </c>
      <c r="Q47" s="108">
        <v>0.44721359549995754</v>
      </c>
      <c r="R47" s="107">
        <v>0.44721359549995537</v>
      </c>
      <c r="S47" s="107">
        <v>-0.14907119849998884</v>
      </c>
      <c r="T47" s="106">
        <v>-0.52174919474995052</v>
      </c>
      <c r="X47" t="str">
        <f ca="1">_xlfn.FORMULATEXT(X43)</f>
        <v>=MMULT(X19:AA22,MMULT(X35:AA38,TRANSPOSE(X28:AA31)))</v>
      </c>
    </row>
    <row r="48" spans="2:33" ht="15.75" thickBot="1" x14ac:dyDescent="0.3">
      <c r="B48" s="105">
        <v>-0.99999999999999156</v>
      </c>
      <c r="C48" s="104">
        <v>-1.000000000000002</v>
      </c>
      <c r="D48" s="104">
        <v>0.66666666666666352</v>
      </c>
      <c r="E48" s="103">
        <v>1.8333333333333399</v>
      </c>
      <c r="J48" s="102">
        <v>-0.19999999999999873</v>
      </c>
      <c r="K48" s="101">
        <v>-0.1999999999999991</v>
      </c>
      <c r="L48" s="101">
        <v>0.13333333333333236</v>
      </c>
      <c r="M48" s="100">
        <v>0.36666666666666581</v>
      </c>
      <c r="Q48" s="99">
        <v>-0.44721359549995698</v>
      </c>
      <c r="R48" s="98">
        <v>-0.44721359549996076</v>
      </c>
      <c r="S48" s="98">
        <v>0.29814239699997247</v>
      </c>
      <c r="T48" s="97">
        <v>0.81989159174992821</v>
      </c>
    </row>
    <row r="49" spans="2:17" x14ac:dyDescent="0.25">
      <c r="B49" t="str">
        <f ca="1">_xlfn.FORMULATEXT(B43)</f>
        <v>=MMULT(B19:G24,MMULT(B35:E40,TRANSPOSE(B28:E31)))</v>
      </c>
      <c r="J49" t="str">
        <f ca="1">_xlfn.FORMULATEXT(J43)</f>
        <v>=MMULT(J19:O24,MMULT(J35:M40,TRANSPOSE(J28:M31)))</v>
      </c>
      <c r="Q49" t="str">
        <f ca="1">_xlfn.FORMULATEXT(Q43)</f>
        <v>=MMULT(Q19:V24,MMULT(Q35:T40,TRANSPOSE(Q28:T31)))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Fig.3.1.1</vt:lpstr>
      <vt:lpstr>Fig.3.2.1-3.5.1</vt:lpstr>
      <vt:lpstr>Fig.3.6.1-3.6.6</vt:lpstr>
      <vt:lpstr>Fig.3.7.1</vt:lpstr>
      <vt:lpstr>Fig.3.7.2-3.7.6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2026-04-13T12:44:14Z</dcterms:created>
  <dcterms:modified xsi:type="dcterms:W3CDTF">2026-05-19T13:31:11Z</dcterms:modified>
</cp:coreProperties>
</file>